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155" windowHeight="8475" activeTab="0"/>
  </bookViews>
  <sheets>
    <sheet name="komplet" sheetId="1" r:id="rId1"/>
  </sheets>
  <definedNames/>
  <calcPr calcId="145621"/>
</workbook>
</file>

<file path=xl/sharedStrings.xml><?xml version="1.0" encoding="utf-8"?>
<sst xmlns="http://schemas.openxmlformats.org/spreadsheetml/2006/main" count="404" uniqueCount="272">
  <si>
    <t>Poř.</t>
  </si>
  <si>
    <t>Alter. kód</t>
  </si>
  <si>
    <t>Popis</t>
  </si>
  <si>
    <t>MJ</t>
  </si>
  <si>
    <t>Výměra celkem</t>
  </si>
  <si>
    <t>Cena bez DPH</t>
  </si>
  <si>
    <t>SO_01: VÝMĚNA VÝPLNÍ OTVORŮ  A  ZATEPLENÍ OBJEKTU</t>
  </si>
  <si>
    <t>002.: Základy</t>
  </si>
  <si>
    <t>216903111</t>
  </si>
  <si>
    <t>Otrýskání ploch vodou a pískem stěn opravovaných (do 10% plochy)</t>
  </si>
  <si>
    <t>m2</t>
  </si>
  <si>
    <t>216904112</t>
  </si>
  <si>
    <t>003.: Svislé konstrukce</t>
  </si>
  <si>
    <t>311272236</t>
  </si>
  <si>
    <t>m3</t>
  </si>
  <si>
    <t>311272268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</si>
  <si>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</si>
  <si>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</si>
  <si>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</si>
  <si>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620000001</t>
  </si>
  <si>
    <t>62201001x</t>
  </si>
  <si>
    <t>62202040x</t>
  </si>
  <si>
    <t>Zateplovací systém (desky polystyrén EPS 70 F tl. 40 mm) - vč. dekorativní probarvené silikátové omítky,zrno 2mm</t>
  </si>
  <si>
    <t>62202140x</t>
  </si>
  <si>
    <t>62203040x</t>
  </si>
  <si>
    <t>Zateplovací systém -  (desky polystyrén EPS 70 F tl. 60 mm) - včetně dekorativní probarvené silikátové omítky , zrno 2mm</t>
  </si>
  <si>
    <t>62204040x</t>
  </si>
  <si>
    <t xml:space="preserve">Zateplovací systém - (desky polystyrén extrud. tl. 40 mm) - bez omítky / parapety </t>
  </si>
  <si>
    <t>62099001x</t>
  </si>
  <si>
    <t>Okenní plastová APU lišta</t>
  </si>
  <si>
    <t>m</t>
  </si>
  <si>
    <t>Podparapetní lišta plastová</t>
  </si>
  <si>
    <t>62297140x</t>
  </si>
  <si>
    <t>Soklová lišta pro zateplení - tl. 140 mm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</si>
  <si>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</si>
  <si>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</si>
  <si>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</si>
  <si>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</si>
  <si>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vnitřních omítek po osazení výpní otvorů - kolem oken, dveří</t>
  </si>
  <si>
    <t>612473182</t>
  </si>
  <si>
    <t>0062: Omítky vnější + úpravy soklu</t>
  </si>
  <si>
    <t>622421131</t>
  </si>
  <si>
    <t>Vnější omítka stěn vápenná nebo vápenocementová - omítka hladká / dozdívky/vyspravení podkladu</t>
  </si>
  <si>
    <t>R</t>
  </si>
  <si>
    <t>0064: Výplně otvorů</t>
  </si>
  <si>
    <t>64000001</t>
  </si>
  <si>
    <t>kus</t>
  </si>
  <si>
    <t>64000002</t>
  </si>
  <si>
    <t>64000003</t>
  </si>
  <si>
    <t>64000007</t>
  </si>
  <si>
    <t>64000008</t>
  </si>
  <si>
    <t>64000009</t>
  </si>
  <si>
    <t>kpl</t>
  </si>
  <si>
    <t>648991113</t>
  </si>
  <si>
    <t>Osazování parapetních desek na cementovou maltu - plastické a poloplastické hmoty, šířka přes 250 mm</t>
  </si>
  <si>
    <t>SPCM</t>
  </si>
  <si>
    <t>009.: Ostatní konstrukce a práce</t>
  </si>
  <si>
    <t>900010001</t>
  </si>
  <si>
    <t>90008000x</t>
  </si>
  <si>
    <t>x</t>
  </si>
  <si>
    <t>demontáž a zpětná montáž ochranných mříží, vč prodloužení uchycení</t>
  </si>
  <si>
    <t>kpl.</t>
  </si>
  <si>
    <t>ks</t>
  </si>
  <si>
    <t>0094: Lešení</t>
  </si>
  <si>
    <t>941941391</t>
  </si>
  <si>
    <t>Montáž lešení lehkého pracovního řadového s podlahami - šířka přes 1,20 do 1,50 m, výška do 12 m</t>
  </si>
  <si>
    <t>941941851</t>
  </si>
  <si>
    <t>Příplatek k ceně montáže lešení - za první a každý další i započatý měsíc použití lešení, k ceně -1051</t>
  </si>
  <si>
    <t>94494400x</t>
  </si>
  <si>
    <t>Demontáž lešení lehkého pracovního řadového s podlahami - šířka přes 1,20 do 1,50 m, výška do 12 m</t>
  </si>
  <si>
    <t>Montáž a demontáž ochranná sítě lešení - sítě z umělých vláken</t>
  </si>
  <si>
    <t>0095: Dokončovací konstrukce a práce</t>
  </si>
  <si>
    <t>Vyčištění budov a objektů bytové nebo občanské výstavby - světlá výška podlaží do 4 m / vnitřní prostory po malbách</t>
  </si>
  <si>
    <t>0096: Bourací práce</t>
  </si>
  <si>
    <t>979011111</t>
  </si>
  <si>
    <t>Svislá doprava suti a vybouraných hmot - doprava za prvé podlaží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</si>
  <si>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</si>
  <si>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</si>
  <si>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</si>
  <si>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</si>
  <si>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</si>
  <si>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</si>
  <si>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</si>
  <si>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</si>
  <si>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</si>
  <si>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</si>
  <si>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</si>
  <si>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Popl1</t>
  </si>
  <si>
    <t>Poplatek za skládku - stavební suť</t>
  </si>
  <si>
    <t>96000001x</t>
  </si>
  <si>
    <t>Demontáž stávajících větracích mřížek a zaslepení otvorů atiky</t>
  </si>
  <si>
    <t>hod</t>
  </si>
  <si>
    <t>968061113</t>
  </si>
  <si>
    <t>Vyvěšení dřevěných křídel - okno - dveře - plocha přes 1,5 m2</t>
  </si>
  <si>
    <t>968062355</t>
  </si>
  <si>
    <t>Vybourání výplní otvorů - okenní rám - dvojitý nebo zdvojený, plocha do 4 m2</t>
  </si>
  <si>
    <t>968062356</t>
  </si>
  <si>
    <t>Vybourání výplní otvorů - okenní rám - dvojitý nebo zdvojený, plocha přes 4 m2</t>
  </si>
  <si>
    <t>968071126</t>
  </si>
  <si>
    <t>Vyvěšení kovových křídel - dveře - plocha přes 2 m2</t>
  </si>
  <si>
    <t>968072455</t>
  </si>
  <si>
    <t>Vybourání a vyjmutí kovových výplní otvorů nebo stěn - dveřní zárubeň - plocha přes 2 m2</t>
  </si>
  <si>
    <t>962081141</t>
  </si>
  <si>
    <t>022.: Silnoproud</t>
  </si>
  <si>
    <t>22000001x</t>
  </si>
  <si>
    <t>22000002x</t>
  </si>
  <si>
    <t>099.: Přesun hmot HSV</t>
  </si>
  <si>
    <t>Přesun hmot pro opravy a údržbu vnějších plášťů dosavadních objektů - výška do 25 m</t>
  </si>
  <si>
    <t>712.: Povlakové krytiny</t>
  </si>
  <si>
    <t>712300832</t>
  </si>
  <si>
    <t>Očištění povlakové krytiny na střechách plochých do 10 ° - mechu odškrabáním s urovnáním povrchu a očistěním</t>
  </si>
  <si>
    <t>71231000x</t>
  </si>
  <si>
    <t>71239000x</t>
  </si>
  <si>
    <t>712311101</t>
  </si>
  <si>
    <t>712312110</t>
  </si>
  <si>
    <t>712341558</t>
  </si>
  <si>
    <t>712341559</t>
  </si>
  <si>
    <t>kg</t>
  </si>
  <si>
    <t>998712202</t>
  </si>
  <si>
    <t>Přesun hmot pro povlakové krytiny - výška do 12 m</t>
  </si>
  <si>
    <t>%</t>
  </si>
  <si>
    <t>713.: Izolace tepelné</t>
  </si>
  <si>
    <t>713141111</t>
  </si>
  <si>
    <t xml:space="preserve">Montáž tepelné izolace běžných stavebních konstrukcí střech, na plný podklad </t>
  </si>
  <si>
    <t>71319122x</t>
  </si>
  <si>
    <t xml:space="preserve">Izolace tepelné běžných stavebních konstrukcí - obložení stěn přechodovými klíny z polystyrénu </t>
  </si>
  <si>
    <t>998713202</t>
  </si>
  <si>
    <t>Přesun hmot pro tepelné izolace - výška do 12 m</t>
  </si>
  <si>
    <t>721.: Vnitřní kanalizace</t>
  </si>
  <si>
    <t>721210823</t>
  </si>
  <si>
    <t>Demontáž kanalizačního příslušenství - střešní vtoky, DN 125</t>
  </si>
  <si>
    <t>72123219x</t>
  </si>
  <si>
    <t>Dodávka a montáž střešních vtoků, včetně příslušenství (s krycí plastovou mřížkou a PVC límcem) - DN 150</t>
  </si>
  <si>
    <t>72121990x</t>
  </si>
  <si>
    <t>Demontáž kanalizačního příslušenství - odvětrávací hlavice</t>
  </si>
  <si>
    <t>72127319x</t>
  </si>
  <si>
    <t>Dodávka a montáž odvětrávacích hlavic, DN 125, materiál PVC</t>
  </si>
  <si>
    <t>721174026</t>
  </si>
  <si>
    <t>Potrubí hrdlové z trub z plastických hmot - materiál PP, HT Systém, DN 125</t>
  </si>
  <si>
    <t>998721202</t>
  </si>
  <si>
    <t>Přesun hmot pro vnitřní kanalizace - výška do 12 m</t>
  </si>
  <si>
    <t>764.: Konstrukce klempířské</t>
  </si>
  <si>
    <t>764359810</t>
  </si>
  <si>
    <t>Demontáž atikových plechů z Zn plechů - rovné , rš 330 do 500 mm</t>
  </si>
  <si>
    <t>764454801</t>
  </si>
  <si>
    <t xml:space="preserve">Očištění  zhlaví atiky </t>
  </si>
  <si>
    <t>764554502</t>
  </si>
  <si>
    <t>764410850</t>
  </si>
  <si>
    <t>Demontáž oplechování parapetů nebo okapní hrany - rš od 100 do 330 mm</t>
  </si>
  <si>
    <t>76401001x</t>
  </si>
  <si>
    <t>Dodávka a montáž klempíř. prvků - nastavení /prodloužení tubusu stávajícího světlíku,ozn. 03 - provedení dle PD</t>
  </si>
  <si>
    <t>76403001x</t>
  </si>
  <si>
    <t>764323820</t>
  </si>
  <si>
    <t>998764202</t>
  </si>
  <si>
    <t>Přesun hmot pro klempířské konstrukce - výška do 12 m</t>
  </si>
  <si>
    <t>766.: Konstrukce truhlářské</t>
  </si>
  <si>
    <t>766090001</t>
  </si>
  <si>
    <t>Demontáž stávajících parapetů - vnitřních</t>
  </si>
  <si>
    <t>76669961x</t>
  </si>
  <si>
    <t>dodávka a  montáž vnitřních parapetů - mdf deska tl 20mm, š do 200mm</t>
  </si>
  <si>
    <t>998766202</t>
  </si>
  <si>
    <t>Přesun hmot pro truhlářské konstrukce - výška do 12 m</t>
  </si>
  <si>
    <t>783.: Nátěry</t>
  </si>
  <si>
    <t>783902811</t>
  </si>
  <si>
    <t>Ostatní natěračské práce - odstranění starých nátěrů odstraňovačem nátěrů s umytím</t>
  </si>
  <si>
    <t>783903811</t>
  </si>
  <si>
    <t>Ostatní natěračské práce - odmaštění chemickými rozpouštědly</t>
  </si>
  <si>
    <t>783226100</t>
  </si>
  <si>
    <t>Nátěry kovových stavebních doplňkových konstrukcí syntetické - základní</t>
  </si>
  <si>
    <t>783222100</t>
  </si>
  <si>
    <t>Nátěry kovových stavebních doplňkových konstrukcí syntetické - dvojnásobné</t>
  </si>
  <si>
    <t>784.: Malby</t>
  </si>
  <si>
    <t>784453631</t>
  </si>
  <si>
    <t>VRN.: Vedlejší rozpočtové náklady</t>
  </si>
  <si>
    <t>07</t>
  </si>
  <si>
    <t>Zařízení staveniště</t>
  </si>
  <si>
    <t xml:space="preserve">   REKAPITULACE :</t>
  </si>
  <si>
    <t>SO_01 : CELKEM vč DPH</t>
  </si>
  <si>
    <t>úprava stávajících krytů radiátorů, po mtz oken a parapetů</t>
  </si>
  <si>
    <t>Reprofilace a sanace betonových konstrukcí -  výměra je uvažována jako 5% z celkových ploch určených k reprofilaci</t>
  </si>
  <si>
    <t>Zateplovací systém  (bez použití zateplovacích desek) - vč. dekorativní probarvené silikátové omítky,zrno 2mm / pilířky,čela makýzy,sloupy apod</t>
  </si>
  <si>
    <t>Očištění  zdiva stěn zpenetrováním</t>
  </si>
  <si>
    <t>Demontáž a opětovná montáž popisných čísel a cedulí, vitríny</t>
  </si>
  <si>
    <t xml:space="preserve">dod a mtz hromosvodu_kompletní nový syst. - svislé i vodorovné vedení + revize  </t>
  </si>
  <si>
    <t>dod a mtz venk halogenových svítidel s pohybovým čidlem(výměna za stávající osv tělěsa) vč revize</t>
  </si>
  <si>
    <t>Klín přechodový polystyrénový (skladba dle PD)</t>
  </si>
  <si>
    <t>Pás asfaltový modifikovaný - finální s posypem_skladba dle PD</t>
  </si>
  <si>
    <t>Atikový plech z  titanzinkového TiZn plechu - dodávka v systému střešního pláště, Rš 500mm</t>
  </si>
  <si>
    <t>62099002x</t>
  </si>
  <si>
    <t>62099003x</t>
  </si>
  <si>
    <t>Okenní plastová lišta - překapnice nadpraží</t>
  </si>
  <si>
    <t>Okno plastové 2400x2400 mm,výplň s U=0,6 (trojsklo),bílé,4kř, - dod a mtz (provedení viz. PD)</t>
  </si>
  <si>
    <t>Okno plastové 2400x2100 mm,výplň U=0,6 (trojsklo),bílé,4kř, - dod a mtz (provedení viz. PD)</t>
  </si>
  <si>
    <t>Okno plastové 2400x2400 mm,U=1,2,bílé,4kř, - dod a mtz (provedení viz. PD)</t>
  </si>
  <si>
    <t>Zdivo z tvárnic pórobetonových přesných, hladkých - tloušťka zdiva přes 200 do 300 mm, objemová hmotnost přes 400 do 500 kg/m3_atika</t>
  </si>
  <si>
    <t>Příčky z tvárnic pórobetonových přesných, hladkých - tloušťka zdiva 150mm, objemová hmotnost přes 500 do 550 kg/m3_dozdívky</t>
  </si>
  <si>
    <t>Vnitřní omítka stěn vápenocementová ze suchých směsí - omítka štuková,vč jádra</t>
  </si>
  <si>
    <t xml:space="preserve">úprava stávajících vrat ,nový nátěr,zateplení </t>
  </si>
  <si>
    <t>dod a mtz plastových mřížek 120x120, barva bílá</t>
  </si>
  <si>
    <t>dod a mtz nových žaluzií k VZT na fasádě , 900x900 , TiZn</t>
  </si>
  <si>
    <t>Bourání stěn a příček ze skleněných výplní - tl. do 150 mm</t>
  </si>
  <si>
    <t>Parapet Al elox_Rš. 340 mm , vč plastových krytek, barva bílá</t>
  </si>
  <si>
    <t>provedení separační vrstvy z geotextilie vč materiálu</t>
  </si>
  <si>
    <t>Provedení povlakové krytiny střech plochých do 10 ° nátěrem za studena - lak penetrační nebo asfaltový_vyspravení ploch + skladba dle PD_podkladní pás pod PPS</t>
  </si>
  <si>
    <t>Provedení povlakové krytiny střech plochých do 10 ° asf pasy 4mm, natavením -  s přitavením spojů, v plné ploše / včetně provedení detailů kolem prostupů a vytažení na svislé konstrukce_finální povrch</t>
  </si>
  <si>
    <t>Pás asfaltový modifikovaný - podkladní+vyspravení stáv.pláště</t>
  </si>
  <si>
    <t>Lak asfaltový penetrační , vyspravení podkladu+skladba dle PD</t>
  </si>
  <si>
    <t xml:space="preserve">Dodávka a montáž klempíř. prvků - nastavení/prodloužení stávajícího tubusu rozvodů VZT , včetně úpravy "nožiček" a manipulace s VZT </t>
  </si>
  <si>
    <t>Výměna ocelových dvířek revizního otvoru ve stávající zděné jednotce</t>
  </si>
  <si>
    <t>Malby z malířských směsí - mal. směs tekutá, bílá, dvojnásobně (po osazení oken)</t>
  </si>
  <si>
    <t>64000004</t>
  </si>
  <si>
    <t>64000005</t>
  </si>
  <si>
    <t>64000006</t>
  </si>
  <si>
    <t>64000010</t>
  </si>
  <si>
    <t>64000011</t>
  </si>
  <si>
    <t>64000012</t>
  </si>
  <si>
    <t>64000013</t>
  </si>
  <si>
    <t>64000014</t>
  </si>
  <si>
    <t>64000016</t>
  </si>
  <si>
    <t>944944005</t>
  </si>
  <si>
    <t>Zateplení objektu a výměna výplní otvorů - ZŠ ul.Březenecká 4679, Chomutov</t>
  </si>
  <si>
    <t>64000001.1</t>
  </si>
  <si>
    <t>Okno plastové 2400x1500 mm,výplň U=0,6 (trojsklo),bílé,2kř, - dod a mtz (provedení viz. PD)</t>
  </si>
  <si>
    <t>Okno plastové 2400x1800 mm,výplň U=0,6 (trojsklo) ,bílé,2kř, - dod a mtz (provedení viz. PD)</t>
  </si>
  <si>
    <t>Okno plastové 1800x2100 mm,výplň U=0,6 (trojsklo),bílé,2kř, - dod a mtz (provedení viz. PD)</t>
  </si>
  <si>
    <t>Okno plastové 1000x1500 mm,výplň U=0,6 (trojsklo) ,bílé,2kř, - dod a mtz (provedení viz. PD)</t>
  </si>
  <si>
    <t>Okno plastové 2400x600 mm,výplň U=0,6 (trojsklo),bílé,2kř, - dod a mtz (provedení viz. PD)</t>
  </si>
  <si>
    <t>Okno plastové 1500x1500 mm,výplň U=0,6 (trojsklo) ,bílé,2kř, - dod a mtz (provedení viz. PD)</t>
  </si>
  <si>
    <t>Okno plastové 1800x800 mm,U=1,2,bílé,2kř, - dod a mtz (provedení viz. PD)</t>
  </si>
  <si>
    <t>Okno plastové 2400x2100 mm,U=1,2,bílé,4kř, - dod a mtz (provedení viz. PD)</t>
  </si>
  <si>
    <t>Okno plastové 600x1500 mm,U=1,2,bílé,1kř, - dod a mtz (provedení viz. PD)</t>
  </si>
  <si>
    <t>Okno plastové 2400x600 mm,U=1,2,bílé,2kř, - dod a mtz (provedení viz. PD)</t>
  </si>
  <si>
    <t>Okno plastové 1200x1500 mm,U=1,2,bílé,2kř, - dod a mtz (provedení viz. PD)</t>
  </si>
  <si>
    <t>Okno plastové 600x1250 mm,U=1,2,bílé, - dod a mtz (provedení viz. PD)</t>
  </si>
  <si>
    <t>Okno plastové 2400x1500 mm,U=1,2,bílé, - dod a mtz (provedení viz. PD)</t>
  </si>
  <si>
    <t xml:space="preserve">Okno plastové - sestava pavilon C 14400x3600 mm,U=1,2,bílé,1kř, - dod a mtz vč pomocné ocelové konstrukce </t>
  </si>
  <si>
    <t xml:space="preserve">Okno plastové - sestava pavilon C 10800x3600 mm,U=1,2,bílé,1kř, - dod a mtz vč pomocné ocelové konstrukce </t>
  </si>
  <si>
    <t>Okno plastové 1200x1200 mm,U=1,2,bílé,1kř - dod a mtz (provedení viz. PD)</t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</si>
  <si>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2400x2850 mm,U=1,2,bílé,2kř, - dod a mtz          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</si>
  <si>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1800x2100 mm,U=1,2,2kř, bílé - dod a mtz (provedení viz. PD)</t>
    </r>
  </si>
  <si>
    <t>přístřešky na nářadí venkovní - demontáž a opětovná montáž - včetně zámečnické úpravy + obnova nátěru (viz PD)</t>
  </si>
  <si>
    <t>demontáž a zpětná montáž výlezů na střechu, vč prodloužení a úpravy límce</t>
  </si>
  <si>
    <t>Odsekání kabřincového obkladu vč jádrové omítky</t>
  </si>
  <si>
    <t>968072458</t>
  </si>
  <si>
    <t>968072460</t>
  </si>
  <si>
    <t>Odsekání říms a výstupků na fasádě</t>
  </si>
  <si>
    <t>bm</t>
  </si>
  <si>
    <t>09900000</t>
  </si>
  <si>
    <t>Odstranění povlakové krytiny na střechách plochých do 10 ° - dvouvrstvé (předpoklad cca z 15%)</t>
  </si>
  <si>
    <t xml:space="preserve">Provedení údržby povlakové krytiny střech plochých do 10 ° nátěrem za studena - včetně dodávky asfaltu (z 15% plochy)+penetrace </t>
  </si>
  <si>
    <t>Provedení údržby povlakové krytiny střech plochých do 10 ° pásy přitavením - včetně dodávky asfaltových pásů (z 15% plochy+skladba dle PD)</t>
  </si>
  <si>
    <r>
      <t xml:space="preserve">Desky polystyrenové EPS - tl. desky </t>
    </r>
    <r>
      <rPr>
        <b/>
        <sz val="10"/>
        <color indexed="8"/>
        <rFont val="Arial"/>
        <family val="2"/>
      </rPr>
      <t>220 mm</t>
    </r>
    <r>
      <rPr>
        <sz val="10"/>
        <color indexed="8"/>
        <rFont val="Arial"/>
        <family val="2"/>
      </rPr>
      <t xml:space="preserve"> (průměrná tl.) s nakašírovaným asf pasem_pavilon A,B,D,F</t>
    </r>
  </si>
  <si>
    <r>
      <t xml:space="preserve">Desky polystyrenové EPS - tl. desky </t>
    </r>
    <r>
      <rPr>
        <b/>
        <sz val="10"/>
        <color indexed="8"/>
        <rFont val="Arial"/>
        <family val="2"/>
      </rPr>
      <t>240 mm</t>
    </r>
    <r>
      <rPr>
        <sz val="10"/>
        <color indexed="8"/>
        <rFont val="Arial"/>
        <family val="2"/>
      </rPr>
      <t xml:space="preserve"> (průměrná tl.) s nakašírovaným asf pasem_pavilon C</t>
    </r>
  </si>
  <si>
    <t>76445480x</t>
  </si>
  <si>
    <t>Zateplovací systém - (desky polystyrén EPS 70 F tl. 140 mm) - vč. dekorativní probarvené silikátové omítky ,vč rohových lišt s pl.sítí,  zrno 2mm</t>
  </si>
  <si>
    <t>00950000</t>
  </si>
  <si>
    <t>dod a mtz žaluzií - Al horizontální s řetízkovým ovládáním, ozn. D01</t>
  </si>
  <si>
    <t>dod a mtz žaluzií - látkové vertikální , ozn. D02</t>
  </si>
  <si>
    <t>dod a mtz sítí proti hmyzu do výplní otvorů, ozn. D03</t>
  </si>
  <si>
    <t>předokenní ocelová mříž, žárový pozink, provedení dle PD, ozn.D04</t>
  </si>
  <si>
    <t>příplatek k ceně zasklení - strukturované sklo typ "kůra" , čiré, ozn.Z01</t>
  </si>
  <si>
    <t>43.1</t>
  </si>
  <si>
    <t>51.1</t>
  </si>
  <si>
    <t>51.2</t>
  </si>
  <si>
    <t>51.3</t>
  </si>
  <si>
    <t>51.4</t>
  </si>
  <si>
    <t>+ 21% DPH</t>
  </si>
  <si>
    <t xml:space="preserve">  15.1</t>
  </si>
  <si>
    <t>62202048x</t>
  </si>
  <si>
    <t>Vnější omítka stěn vápenocementová - omítka hladká - sokl</t>
  </si>
  <si>
    <t>bednění z prken,vyrovnávací potěr atiky v tl. do 50mm, š atiky 300mm , včetně montáže OSB roznášecí desky dle detailu v PD</t>
  </si>
  <si>
    <t>Zateplovací systém (desky polystyrén XPS 70 F tl. 40 mm) - vč. dekorativní "plastové" omítky,kamínků, (mosaik) sokl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</si>
</sst>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\._);;;_(@_)"/>
    <numFmt numFmtId="165" formatCode="_(#,##0.0??;&quot;- &quot;#,##0.0??;\–???;_(@_)"/>
    <numFmt numFmtId="166" formatCode="_(#,##0.00_);[Red]&quot;- &quot;#,##0.00_);\–??;_(@_)"/>
    <numFmt numFmtId="167" formatCode="_(#,##0_);[Red]&quot;- &quot;#,##0_);\–??;_(@_)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62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/>
    </xf>
    <xf numFmtId="167" fontId="8" fillId="0" borderId="1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166" fontId="0" fillId="0" borderId="5" xfId="0" applyNumberFormat="1" applyFont="1" applyFill="1" applyBorder="1" applyAlignment="1">
      <alignment horizontal="right" vertical="top"/>
    </xf>
    <xf numFmtId="167" fontId="0" fillId="0" borderId="6" xfId="0" applyNumberFormat="1" applyFont="1" applyFill="1" applyBorder="1" applyAlignment="1">
      <alignment horizontal="right" vertical="top"/>
    </xf>
    <xf numFmtId="0" fontId="0" fillId="0" borderId="7" xfId="0" applyFill="1" applyBorder="1"/>
    <xf numFmtId="164" fontId="10" fillId="0" borderId="8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9" xfId="0" applyNumberFormat="1" applyFont="1" applyFill="1" applyBorder="1" applyAlignment="1">
      <alignment/>
    </xf>
    <xf numFmtId="166" fontId="10" fillId="0" borderId="9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top"/>
    </xf>
    <xf numFmtId="166" fontId="8" fillId="0" borderId="11" xfId="0" applyNumberFormat="1" applyFont="1" applyFill="1" applyBorder="1" applyAlignment="1">
      <alignment horizontal="right" vertical="top"/>
    </xf>
    <xf numFmtId="167" fontId="8" fillId="0" borderId="12" xfId="0" applyNumberFormat="1" applyFont="1" applyFill="1" applyBorder="1" applyAlignment="1">
      <alignment horizontal="right" vertical="top"/>
    </xf>
    <xf numFmtId="164" fontId="0" fillId="0" borderId="13" xfId="0" applyNumberFormat="1" applyFont="1" applyFill="1" applyBorder="1" applyAlignment="1">
      <alignment horizontal="right" vertical="top"/>
    </xf>
    <xf numFmtId="49" fontId="0" fillId="0" borderId="9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center" vertical="top"/>
    </xf>
    <xf numFmtId="167" fontId="12" fillId="0" borderId="12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2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5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15" fillId="0" borderId="1" xfId="0" applyFont="1" applyFill="1" applyBorder="1"/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/>
    <xf numFmtId="164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/>
    </xf>
    <xf numFmtId="164" fontId="14" fillId="0" borderId="8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14" fillId="0" borderId="7" xfId="0" applyFont="1" applyFill="1" applyBorder="1"/>
    <xf numFmtId="165" fontId="2" fillId="0" borderId="1" xfId="0" applyNumberFormat="1" applyFont="1" applyFill="1" applyBorder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right"/>
      <protection hidden="1"/>
    </xf>
    <xf numFmtId="165" fontId="6" fillId="0" borderId="1" xfId="0" applyNumberFormat="1" applyFont="1" applyFill="1" applyBorder="1" applyAlignment="1" applyProtection="1">
      <alignment/>
      <protection hidden="1"/>
    </xf>
    <xf numFmtId="165" fontId="5" fillId="0" borderId="1" xfId="0" applyNumberFormat="1" applyFont="1" applyFill="1" applyBorder="1" applyAlignment="1" applyProtection="1">
      <alignment horizontal="right" vertical="top"/>
      <protection hidden="1"/>
    </xf>
    <xf numFmtId="165" fontId="7" fillId="0" borderId="1" xfId="0" applyNumberFormat="1" applyFont="1" applyFill="1" applyBorder="1" applyAlignment="1" applyProtection="1">
      <alignment horizontal="right" vertical="top"/>
      <protection hidden="1"/>
    </xf>
    <xf numFmtId="168" fontId="7" fillId="0" borderId="1" xfId="0" applyNumberFormat="1" applyFont="1" applyFill="1" applyBorder="1" applyAlignment="1" applyProtection="1">
      <alignment horizontal="right" vertical="top"/>
      <protection hidden="1"/>
    </xf>
    <xf numFmtId="165" fontId="14" fillId="0" borderId="1" xfId="0" applyNumberFormat="1" applyFont="1" applyFill="1" applyBorder="1" applyAlignment="1" applyProtection="1">
      <alignment/>
      <protection hidden="1"/>
    </xf>
    <xf numFmtId="165" fontId="0" fillId="0" borderId="1" xfId="0" applyNumberFormat="1" applyFont="1" applyFill="1" applyBorder="1" applyAlignment="1" applyProtection="1">
      <alignment vertical="top"/>
      <protection hidden="1"/>
    </xf>
    <xf numFmtId="2" fontId="7" fillId="0" borderId="1" xfId="0" applyNumberFormat="1" applyFont="1" applyFill="1" applyBorder="1" applyAlignment="1" applyProtection="1">
      <alignment horizontal="right" vertical="top"/>
      <protection hidden="1"/>
    </xf>
    <xf numFmtId="165" fontId="8" fillId="0" borderId="1" xfId="0" applyNumberFormat="1" applyFont="1" applyFill="1" applyBorder="1" applyAlignment="1" applyProtection="1">
      <alignment/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165" fontId="5" fillId="0" borderId="2" xfId="0" applyNumberFormat="1" applyFont="1" applyFill="1" applyBorder="1" applyAlignment="1" applyProtection="1">
      <alignment horizontal="right" vertical="top"/>
      <protection hidden="1"/>
    </xf>
    <xf numFmtId="165" fontId="7" fillId="0" borderId="5" xfId="0" applyNumberFormat="1" applyFont="1" applyFill="1" applyBorder="1" applyAlignment="1" applyProtection="1">
      <alignment horizontal="right" vertical="top"/>
      <protection hidden="1"/>
    </xf>
    <xf numFmtId="165" fontId="10" fillId="0" borderId="9" xfId="0" applyNumberFormat="1" applyFont="1" applyFill="1" applyBorder="1" applyAlignment="1" applyProtection="1">
      <alignment/>
      <protection hidden="1"/>
    </xf>
    <xf numFmtId="165" fontId="11" fillId="0" borderId="3" xfId="0" applyNumberFormat="1" applyFont="1" applyFill="1" applyBorder="1" applyAlignment="1" applyProtection="1">
      <alignment horizontal="right" vertical="top"/>
      <protection hidden="1"/>
    </xf>
    <xf numFmtId="165" fontId="11" fillId="0" borderId="9" xfId="0" applyNumberFormat="1" applyFont="1" applyFill="1" applyBorder="1" applyAlignment="1" applyProtection="1">
      <alignment horizontal="right" vertical="top"/>
      <protection hidden="1"/>
    </xf>
    <xf numFmtId="165" fontId="5" fillId="0" borderId="3" xfId="0" applyNumberFormat="1" applyFont="1" applyFill="1" applyBorder="1" applyAlignment="1" applyProtection="1">
      <alignment horizontal="right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workbookViewId="0" topLeftCell="A3">
      <selection activeCell="E17" sqref="E17"/>
    </sheetView>
  </sheetViews>
  <sheetFormatPr defaultColWidth="9.140625" defaultRowHeight="15" outlineLevelRow="2"/>
  <cols>
    <col min="1" max="1" width="5.7109375" style="8" customWidth="1"/>
    <col min="2" max="2" width="10.00390625" style="9" customWidth="1"/>
    <col min="3" max="3" width="68.421875" style="1" customWidth="1"/>
    <col min="4" max="4" width="6.57421875" style="10" customWidth="1"/>
    <col min="5" max="5" width="15.140625" style="91" customWidth="1"/>
    <col min="6" max="6" width="13.28125" style="11" customWidth="1"/>
    <col min="7" max="7" width="16.8515625" style="2" customWidth="1"/>
    <col min="8" max="8" width="9.140625" style="12" customWidth="1"/>
    <col min="9" max="10" width="9.140625" style="12" hidden="1" customWidth="1"/>
    <col min="11" max="16384" width="9.140625" style="12" customWidth="1"/>
  </cols>
  <sheetData>
    <row r="1" spans="1:7" ht="15.75">
      <c r="A1" s="13"/>
      <c r="B1" s="4"/>
      <c r="C1" s="4" t="s">
        <v>220</v>
      </c>
      <c r="D1" s="4"/>
      <c r="E1" s="88"/>
      <c r="F1" s="14"/>
      <c r="G1" s="15"/>
    </row>
    <row r="2" spans="1:7" ht="15.75">
      <c r="A2" s="13"/>
      <c r="B2" s="4"/>
      <c r="C2" s="4"/>
      <c r="D2" s="4"/>
      <c r="E2" s="88"/>
      <c r="F2" s="14"/>
      <c r="G2" s="15"/>
    </row>
    <row r="3" spans="1:7" ht="15">
      <c r="A3" s="16" t="s">
        <v>0</v>
      </c>
      <c r="B3" s="5" t="s">
        <v>1</v>
      </c>
      <c r="C3" s="5" t="s">
        <v>2</v>
      </c>
      <c r="D3" s="17" t="s">
        <v>3</v>
      </c>
      <c r="E3" s="89" t="s">
        <v>4</v>
      </c>
      <c r="F3" s="16"/>
      <c r="G3" s="16" t="s">
        <v>5</v>
      </c>
    </row>
    <row r="4" spans="1:7" ht="15">
      <c r="A4" s="16"/>
      <c r="B4" s="5"/>
      <c r="C4" s="5"/>
      <c r="D4" s="17"/>
      <c r="E4" s="89"/>
      <c r="F4" s="16"/>
      <c r="G4" s="16"/>
    </row>
    <row r="5" spans="1:7" ht="15.75">
      <c r="A5" s="13"/>
      <c r="B5" s="4"/>
      <c r="C5" s="4" t="s">
        <v>6</v>
      </c>
      <c r="D5" s="4"/>
      <c r="E5" s="88"/>
      <c r="F5" s="14"/>
      <c r="G5" s="15">
        <f>G7+G10+G13+G26+G30+G33+G58+G71+G76+G78+G95+G98+G100+G112+G119+G126+G136+G140+G145+G147</f>
        <v>0</v>
      </c>
    </row>
    <row r="7" spans="1:7" ht="15">
      <c r="A7" s="18"/>
      <c r="B7" s="3"/>
      <c r="C7" s="3" t="s">
        <v>7</v>
      </c>
      <c r="D7" s="3"/>
      <c r="E7" s="90"/>
      <c r="F7" s="19"/>
      <c r="G7" s="52">
        <f>SUM(G8:G9)</f>
        <v>0</v>
      </c>
    </row>
    <row r="8" spans="1:7" ht="15">
      <c r="A8" s="8">
        <v>1</v>
      </c>
      <c r="B8" s="9" t="s">
        <v>8</v>
      </c>
      <c r="C8" s="1" t="s">
        <v>9</v>
      </c>
      <c r="D8" s="10" t="s">
        <v>10</v>
      </c>
      <c r="E8" s="91">
        <v>286</v>
      </c>
      <c r="G8" s="53">
        <f>E8*F8</f>
        <v>0</v>
      </c>
    </row>
    <row r="9" spans="1:7" ht="15">
      <c r="A9" s="8">
        <v>2</v>
      </c>
      <c r="B9" s="9" t="s">
        <v>11</v>
      </c>
      <c r="C9" s="1" t="s">
        <v>181</v>
      </c>
      <c r="D9" s="10" t="s">
        <v>10</v>
      </c>
      <c r="E9" s="91">
        <f>E18+E17+E16+E19</f>
        <v>4490.86</v>
      </c>
      <c r="G9" s="53">
        <f>E9*F9</f>
        <v>0</v>
      </c>
    </row>
    <row r="10" spans="1:7" ht="15">
      <c r="A10" s="18"/>
      <c r="B10" s="3"/>
      <c r="C10" s="3" t="s">
        <v>12</v>
      </c>
      <c r="D10" s="3"/>
      <c r="E10" s="90"/>
      <c r="F10" s="19"/>
      <c r="G10" s="52">
        <f>SUM(G11:G12)</f>
        <v>0</v>
      </c>
    </row>
    <row r="11" spans="1:7" ht="25.5">
      <c r="A11" s="8">
        <v>3</v>
      </c>
      <c r="B11" s="9" t="s">
        <v>13</v>
      </c>
      <c r="C11" s="1" t="s">
        <v>194</v>
      </c>
      <c r="D11" s="10" t="s">
        <v>14</v>
      </c>
      <c r="E11" s="91">
        <f>0.4*0.25*E127+9</f>
        <v>91.36000000000001</v>
      </c>
      <c r="G11" s="53">
        <f>E11*F11</f>
        <v>0</v>
      </c>
    </row>
    <row r="12" spans="1:7" ht="25.5">
      <c r="A12" s="8">
        <v>4</v>
      </c>
      <c r="B12" s="9" t="s">
        <v>15</v>
      </c>
      <c r="C12" s="1" t="s">
        <v>195</v>
      </c>
      <c r="D12" s="10" t="s">
        <v>10</v>
      </c>
      <c r="E12" s="91">
        <v>88</v>
      </c>
      <c r="G12" s="53">
        <f>E12*F12</f>
        <v>0</v>
      </c>
    </row>
    <row r="13" spans="1:7" ht="15">
      <c r="A13" s="18"/>
      <c r="B13" s="3"/>
      <c r="C13" s="3" t="s">
        <v>16</v>
      </c>
      <c r="D13" s="3"/>
      <c r="E13" s="90"/>
      <c r="F13" s="19"/>
      <c r="G13" s="52">
        <f>SUM(G14:G25)</f>
        <v>0</v>
      </c>
    </row>
    <row r="14" spans="1:7" ht="25.5">
      <c r="A14" s="8">
        <v>5</v>
      </c>
      <c r="B14" s="9" t="s">
        <v>17</v>
      </c>
      <c r="C14" s="1" t="s">
        <v>18</v>
      </c>
      <c r="D14" s="10" t="s">
        <v>10</v>
      </c>
      <c r="E14" s="91">
        <f>13.5+25.2+7.2+30.2+4+5+97+15+210+55+52+39+100+7.2+12+16+10+9+161+14+13.5+32.4+5.2+52+4.5+7.5+15+172+21.6+65+15+15+3+115+5+13+172+100</f>
        <v>1709</v>
      </c>
      <c r="G14" s="53">
        <f aca="true" t="shared" si="0" ref="G14:G22">E14*F14</f>
        <v>0</v>
      </c>
    </row>
    <row r="15" spans="1:7" ht="25.5">
      <c r="A15" s="8">
        <v>6</v>
      </c>
      <c r="B15" s="73" t="s">
        <v>19</v>
      </c>
      <c r="C15" s="74" t="s">
        <v>179</v>
      </c>
      <c r="D15" s="75" t="s">
        <v>10</v>
      </c>
      <c r="E15" s="92">
        <v>38.5</v>
      </c>
      <c r="F15" s="55"/>
      <c r="G15" s="53">
        <f t="shared" si="0"/>
        <v>0</v>
      </c>
    </row>
    <row r="16" spans="1:7" ht="25.5">
      <c r="A16" s="8">
        <v>7</v>
      </c>
      <c r="B16" s="73" t="s">
        <v>20</v>
      </c>
      <c r="C16" s="74" t="s">
        <v>180</v>
      </c>
      <c r="D16" s="75" t="s">
        <v>10</v>
      </c>
      <c r="E16" s="92">
        <v>215.8</v>
      </c>
      <c r="F16" s="55"/>
      <c r="G16" s="53">
        <f t="shared" si="0"/>
        <v>0</v>
      </c>
    </row>
    <row r="17" spans="1:7" ht="25.5">
      <c r="A17" s="8">
        <v>8</v>
      </c>
      <c r="B17" s="73" t="s">
        <v>21</v>
      </c>
      <c r="C17" s="74" t="s">
        <v>22</v>
      </c>
      <c r="D17" s="75" t="s">
        <v>10</v>
      </c>
      <c r="E17" s="92">
        <f>286+20</f>
        <v>306</v>
      </c>
      <c r="F17" s="55"/>
      <c r="G17" s="53">
        <f>E17*F17</f>
        <v>0</v>
      </c>
    </row>
    <row r="18" spans="1:7" ht="25.5">
      <c r="A18" s="8">
        <v>9</v>
      </c>
      <c r="B18" s="73" t="s">
        <v>23</v>
      </c>
      <c r="C18" s="74" t="s">
        <v>254</v>
      </c>
      <c r="D18" s="75" t="s">
        <v>10</v>
      </c>
      <c r="E18" s="92">
        <f>25*4+25*4+10+12+25*8+24.5*8+25*8-7*4+49*7.8-6*3.5+33.5*7.8+4*8+18.5*7.8+35*4+35*4+4*6.5+4.5*4+59*8+61*8-16.5*4+9.5*7.8+7.6*7.6+20*7.6+40.5*11.5+30*8+40*7.8-10*4+40.5*11.5-10*7+18.5*11.5+9*8+18.5*11.5-E14+380+4*(8*8)-10*1.6*2.1</f>
        <v>3855.06</v>
      </c>
      <c r="F18" s="55"/>
      <c r="G18" s="53">
        <f>E18*F18</f>
        <v>0</v>
      </c>
    </row>
    <row r="19" spans="1:7" ht="25.5">
      <c r="A19" s="8">
        <v>10</v>
      </c>
      <c r="B19" s="73" t="s">
        <v>24</v>
      </c>
      <c r="C19" s="74" t="s">
        <v>25</v>
      </c>
      <c r="D19" s="75" t="s">
        <v>10</v>
      </c>
      <c r="E19" s="92">
        <v>114</v>
      </c>
      <c r="F19" s="55"/>
      <c r="G19" s="53">
        <f t="shared" si="0"/>
        <v>0</v>
      </c>
    </row>
    <row r="20" spans="1:7" ht="16.5" customHeight="1">
      <c r="A20" s="8">
        <v>11</v>
      </c>
      <c r="B20" s="73" t="s">
        <v>26</v>
      </c>
      <c r="C20" s="74" t="s">
        <v>27</v>
      </c>
      <c r="D20" s="75" t="s">
        <v>10</v>
      </c>
      <c r="E20" s="93">
        <f>E22*0.35+20</f>
        <v>320.825</v>
      </c>
      <c r="F20" s="55"/>
      <c r="G20" s="53">
        <f t="shared" si="0"/>
        <v>0</v>
      </c>
    </row>
    <row r="21" spans="1:7" ht="15">
      <c r="A21" s="8">
        <v>12</v>
      </c>
      <c r="B21" s="73" t="s">
        <v>28</v>
      </c>
      <c r="C21" s="74" t="s">
        <v>29</v>
      </c>
      <c r="D21" s="75" t="s">
        <v>30</v>
      </c>
      <c r="E21" s="92">
        <f>E22+150*2.4*2+550+50</f>
        <v>2179.5</v>
      </c>
      <c r="F21" s="55"/>
      <c r="G21" s="53">
        <f t="shared" si="0"/>
        <v>0</v>
      </c>
    </row>
    <row r="22" spans="1:7" ht="15">
      <c r="A22" s="8">
        <v>13</v>
      </c>
      <c r="B22" s="73" t="s">
        <v>188</v>
      </c>
      <c r="C22" s="74" t="s">
        <v>31</v>
      </c>
      <c r="D22" s="75" t="s">
        <v>30</v>
      </c>
      <c r="E22" s="92">
        <f>E55+25</f>
        <v>859.5</v>
      </c>
      <c r="F22" s="55"/>
      <c r="G22" s="53">
        <f t="shared" si="0"/>
        <v>0</v>
      </c>
    </row>
    <row r="23" spans="1:7" ht="15">
      <c r="A23" s="8">
        <v>14</v>
      </c>
      <c r="B23" s="73" t="s">
        <v>189</v>
      </c>
      <c r="C23" s="74" t="s">
        <v>190</v>
      </c>
      <c r="D23" s="75" t="s">
        <v>30</v>
      </c>
      <c r="E23" s="92">
        <f>E22</f>
        <v>859.5</v>
      </c>
      <c r="F23" s="55"/>
      <c r="G23" s="53">
        <f aca="true" t="shared" si="1" ref="G23">E23*F23</f>
        <v>0</v>
      </c>
    </row>
    <row r="24" spans="1:7" ht="15">
      <c r="A24" s="8">
        <v>15</v>
      </c>
      <c r="B24" s="73" t="s">
        <v>32</v>
      </c>
      <c r="C24" s="74" t="s">
        <v>33</v>
      </c>
      <c r="D24" s="75" t="s">
        <v>30</v>
      </c>
      <c r="E24" s="92">
        <f>E127+40</f>
        <v>863.6</v>
      </c>
      <c r="F24" s="55"/>
      <c r="G24" s="53">
        <f>E24*F24</f>
        <v>0</v>
      </c>
    </row>
    <row r="25" spans="1:7" s="72" customFormat="1" ht="25.5">
      <c r="A25" s="76" t="s">
        <v>267</v>
      </c>
      <c r="B25" s="73" t="s">
        <v>268</v>
      </c>
      <c r="C25" s="74" t="s">
        <v>271</v>
      </c>
      <c r="D25" s="75" t="s">
        <v>30</v>
      </c>
      <c r="E25" s="92">
        <f>E32</f>
        <v>346.9</v>
      </c>
      <c r="F25" s="55"/>
      <c r="G25" s="53">
        <f>E25*F25</f>
        <v>0</v>
      </c>
    </row>
    <row r="26" spans="1:7" ht="15">
      <c r="A26" s="18"/>
      <c r="B26" s="3"/>
      <c r="C26" s="3" t="s">
        <v>34</v>
      </c>
      <c r="D26" s="3"/>
      <c r="E26" s="90"/>
      <c r="F26" s="19"/>
      <c r="G26" s="52">
        <f>SUM(G27:G29)</f>
        <v>0</v>
      </c>
    </row>
    <row r="27" spans="1:7" ht="25.5">
      <c r="A27" s="8">
        <v>16</v>
      </c>
      <c r="B27" s="9" t="s">
        <v>35</v>
      </c>
      <c r="C27" s="1" t="s">
        <v>36</v>
      </c>
      <c r="D27" s="10" t="s">
        <v>10</v>
      </c>
      <c r="E27" s="91">
        <v>884</v>
      </c>
      <c r="G27" s="53">
        <f>E27*F27</f>
        <v>0</v>
      </c>
    </row>
    <row r="28" spans="1:7" ht="14.25" customHeight="1">
      <c r="A28" s="8">
        <v>17</v>
      </c>
      <c r="B28" s="9" t="s">
        <v>37</v>
      </c>
      <c r="C28" s="1" t="s">
        <v>38</v>
      </c>
      <c r="D28" s="10" t="s">
        <v>30</v>
      </c>
      <c r="E28" s="91">
        <v>2585</v>
      </c>
      <c r="G28" s="53">
        <f>E28*F28</f>
        <v>0</v>
      </c>
    </row>
    <row r="29" spans="1:7" ht="16.5" customHeight="1">
      <c r="A29" s="8">
        <v>18</v>
      </c>
      <c r="B29" s="9" t="s">
        <v>39</v>
      </c>
      <c r="C29" s="1" t="s">
        <v>196</v>
      </c>
      <c r="D29" s="10" t="s">
        <v>10</v>
      </c>
      <c r="E29" s="91">
        <v>342</v>
      </c>
      <c r="G29" s="53">
        <f>E29*F29</f>
        <v>0</v>
      </c>
    </row>
    <row r="30" spans="1:7" ht="15">
      <c r="A30" s="18"/>
      <c r="B30" s="3"/>
      <c r="C30" s="3" t="s">
        <v>40</v>
      </c>
      <c r="D30" s="3"/>
      <c r="E30" s="90"/>
      <c r="F30" s="19"/>
      <c r="G30" s="52">
        <f>SUM(G31:G32)</f>
        <v>0</v>
      </c>
    </row>
    <row r="31" spans="1:7" ht="25.5">
      <c r="A31" s="8">
        <v>19</v>
      </c>
      <c r="B31" s="9" t="s">
        <v>41</v>
      </c>
      <c r="C31" s="1" t="s">
        <v>42</v>
      </c>
      <c r="D31" s="10" t="s">
        <v>10</v>
      </c>
      <c r="E31" s="91">
        <v>265</v>
      </c>
      <c r="G31" s="53">
        <f>E31*F31</f>
        <v>0</v>
      </c>
    </row>
    <row r="32" spans="1:7" s="78" customFormat="1" ht="15">
      <c r="A32" s="77">
        <v>20</v>
      </c>
      <c r="B32" s="73" t="s">
        <v>43</v>
      </c>
      <c r="C32" s="74" t="s">
        <v>269</v>
      </c>
      <c r="D32" s="75" t="s">
        <v>10</v>
      </c>
      <c r="E32" s="92">
        <f>E92</f>
        <v>346.9</v>
      </c>
      <c r="F32" s="55"/>
      <c r="G32" s="53">
        <f>E32*F32</f>
        <v>0</v>
      </c>
    </row>
    <row r="33" spans="1:7" ht="15">
      <c r="A33" s="18"/>
      <c r="B33" s="3"/>
      <c r="C33" s="3" t="s">
        <v>44</v>
      </c>
      <c r="D33" s="3"/>
      <c r="E33" s="90"/>
      <c r="F33" s="19"/>
      <c r="G33" s="52">
        <f>SUM(G34:G57)</f>
        <v>0</v>
      </c>
    </row>
    <row r="34" spans="1:7" ht="25.5" outlineLevel="2">
      <c r="A34" s="8">
        <v>21</v>
      </c>
      <c r="B34" s="9" t="s">
        <v>45</v>
      </c>
      <c r="C34" s="1" t="s">
        <v>191</v>
      </c>
      <c r="D34" s="10" t="s">
        <v>46</v>
      </c>
      <c r="E34" s="91">
        <f>36+17+28+30+20+30</f>
        <v>161</v>
      </c>
      <c r="G34" s="53">
        <f aca="true" t="shared" si="2" ref="G34:G56">E34*F34</f>
        <v>0</v>
      </c>
    </row>
    <row r="35" spans="1:7" ht="25.5" outlineLevel="2">
      <c r="A35" s="8">
        <v>22</v>
      </c>
      <c r="B35" s="9" t="s">
        <v>221</v>
      </c>
      <c r="C35" s="1" t="s">
        <v>192</v>
      </c>
      <c r="D35" s="10" t="s">
        <v>46</v>
      </c>
      <c r="E35" s="91">
        <f>2+2+3+3+1</f>
        <v>11</v>
      </c>
      <c r="G35" s="53">
        <f aca="true" t="shared" si="3" ref="G35">E35*F35</f>
        <v>0</v>
      </c>
    </row>
    <row r="36" spans="1:7" ht="25.5" outlineLevel="2">
      <c r="A36" s="8">
        <v>23</v>
      </c>
      <c r="B36" s="9" t="s">
        <v>47</v>
      </c>
      <c r="C36" s="1" t="s">
        <v>222</v>
      </c>
      <c r="D36" s="10" t="s">
        <v>46</v>
      </c>
      <c r="E36" s="91">
        <f>27+18</f>
        <v>45</v>
      </c>
      <c r="G36" s="53">
        <f>E36*F36</f>
        <v>0</v>
      </c>
    </row>
    <row r="37" spans="1:7" ht="25.5" outlineLevel="2">
      <c r="A37" s="8">
        <v>24</v>
      </c>
      <c r="B37" s="9" t="s">
        <v>48</v>
      </c>
      <c r="C37" s="1" t="s">
        <v>223</v>
      </c>
      <c r="D37" s="10" t="s">
        <v>46</v>
      </c>
      <c r="E37" s="91">
        <f>3</f>
        <v>3</v>
      </c>
      <c r="G37" s="53">
        <f aca="true" t="shared" si="4" ref="G37:G50">E37*F37</f>
        <v>0</v>
      </c>
    </row>
    <row r="38" spans="1:7" ht="25.5" outlineLevel="2">
      <c r="A38" s="8">
        <v>25</v>
      </c>
      <c r="B38" s="9" t="s">
        <v>47</v>
      </c>
      <c r="C38" s="1" t="s">
        <v>224</v>
      </c>
      <c r="D38" s="10" t="s">
        <v>46</v>
      </c>
      <c r="E38" s="91">
        <f>2+1</f>
        <v>3</v>
      </c>
      <c r="G38" s="53">
        <f>E38*F38</f>
        <v>0</v>
      </c>
    </row>
    <row r="39" spans="1:7" ht="25.5" outlineLevel="2">
      <c r="A39" s="8">
        <v>26</v>
      </c>
      <c r="B39" s="9" t="s">
        <v>48</v>
      </c>
      <c r="C39" s="1" t="s">
        <v>225</v>
      </c>
      <c r="D39" s="10" t="s">
        <v>46</v>
      </c>
      <c r="E39" s="91">
        <f>10</f>
        <v>10</v>
      </c>
      <c r="G39" s="53">
        <f aca="true" t="shared" si="5" ref="G39">E39*F39</f>
        <v>0</v>
      </c>
    </row>
    <row r="40" spans="1:7" ht="25.5" outlineLevel="2">
      <c r="A40" s="8">
        <v>27</v>
      </c>
      <c r="B40" s="9" t="s">
        <v>47</v>
      </c>
      <c r="C40" s="1" t="s">
        <v>226</v>
      </c>
      <c r="D40" s="10" t="s">
        <v>46</v>
      </c>
      <c r="E40" s="91">
        <f>1</f>
        <v>1</v>
      </c>
      <c r="G40" s="53">
        <f>E40*F40</f>
        <v>0</v>
      </c>
    </row>
    <row r="41" spans="1:7" ht="25.5" outlineLevel="2">
      <c r="A41" s="8">
        <v>28</v>
      </c>
      <c r="B41" s="9" t="s">
        <v>48</v>
      </c>
      <c r="C41" s="1" t="s">
        <v>227</v>
      </c>
      <c r="D41" s="10" t="s">
        <v>46</v>
      </c>
      <c r="E41" s="91">
        <f>3+2</f>
        <v>5</v>
      </c>
      <c r="G41" s="53">
        <f aca="true" t="shared" si="6" ref="G41:G42">E41*F41</f>
        <v>0</v>
      </c>
    </row>
    <row r="42" spans="1:7" ht="15" outlineLevel="2">
      <c r="A42" s="8">
        <v>29</v>
      </c>
      <c r="B42" s="9" t="s">
        <v>210</v>
      </c>
      <c r="C42" s="1" t="s">
        <v>234</v>
      </c>
      <c r="D42" s="10" t="s">
        <v>46</v>
      </c>
      <c r="E42" s="91">
        <v>9</v>
      </c>
      <c r="G42" s="53">
        <f t="shared" si="6"/>
        <v>0</v>
      </c>
    </row>
    <row r="43" spans="1:7" ht="15" outlineLevel="2">
      <c r="A43" s="8">
        <v>30</v>
      </c>
      <c r="B43" s="9" t="s">
        <v>210</v>
      </c>
      <c r="C43" s="1" t="s">
        <v>233</v>
      </c>
      <c r="D43" s="10" t="s">
        <v>46</v>
      </c>
      <c r="E43" s="91">
        <v>1</v>
      </c>
      <c r="G43" s="53">
        <f aca="true" t="shared" si="7" ref="G43">E43*F43</f>
        <v>0</v>
      </c>
    </row>
    <row r="44" spans="1:7" ht="15" outlineLevel="2">
      <c r="A44" s="8">
        <v>31</v>
      </c>
      <c r="B44" s="9" t="s">
        <v>211</v>
      </c>
      <c r="C44" s="1" t="s">
        <v>231</v>
      </c>
      <c r="D44" s="10" t="s">
        <v>46</v>
      </c>
      <c r="E44" s="91">
        <v>2</v>
      </c>
      <c r="G44" s="53">
        <f aca="true" t="shared" si="8" ref="G44">E44*F44</f>
        <v>0</v>
      </c>
    </row>
    <row r="45" spans="1:7" ht="15" outlineLevel="2">
      <c r="A45" s="8">
        <v>32</v>
      </c>
      <c r="B45" s="9" t="s">
        <v>212</v>
      </c>
      <c r="C45" s="1" t="s">
        <v>232</v>
      </c>
      <c r="D45" s="10" t="s">
        <v>46</v>
      </c>
      <c r="E45" s="91">
        <v>12</v>
      </c>
      <c r="G45" s="53">
        <f aca="true" t="shared" si="9" ref="G45">E45*F45</f>
        <v>0</v>
      </c>
    </row>
    <row r="46" spans="1:7" ht="15" outlineLevel="2">
      <c r="A46" s="8">
        <v>33</v>
      </c>
      <c r="B46" s="9" t="s">
        <v>49</v>
      </c>
      <c r="C46" s="1" t="s">
        <v>230</v>
      </c>
      <c r="D46" s="10" t="s">
        <v>46</v>
      </c>
      <c r="E46" s="91">
        <f>8+5</f>
        <v>13</v>
      </c>
      <c r="G46" s="53">
        <f aca="true" t="shared" si="10" ref="G46:G47">E46*F46</f>
        <v>0</v>
      </c>
    </row>
    <row r="47" spans="1:7" ht="15" outlineLevel="2">
      <c r="A47" s="8">
        <v>34</v>
      </c>
      <c r="B47" s="9" t="s">
        <v>50</v>
      </c>
      <c r="C47" s="1" t="s">
        <v>229</v>
      </c>
      <c r="D47" s="10" t="s">
        <v>46</v>
      </c>
      <c r="E47" s="91">
        <f>5+6</f>
        <v>11</v>
      </c>
      <c r="G47" s="53">
        <f t="shared" si="10"/>
        <v>0</v>
      </c>
    </row>
    <row r="48" spans="1:7" ht="15" outlineLevel="2">
      <c r="A48" s="8">
        <v>35</v>
      </c>
      <c r="B48" s="9" t="s">
        <v>51</v>
      </c>
      <c r="C48" s="1" t="s">
        <v>193</v>
      </c>
      <c r="D48" s="10" t="s">
        <v>46</v>
      </c>
      <c r="E48" s="91">
        <f>9</f>
        <v>9</v>
      </c>
      <c r="F48" s="55"/>
      <c r="G48" s="53">
        <f t="shared" si="4"/>
        <v>0</v>
      </c>
    </row>
    <row r="49" spans="1:12" ht="25.5" outlineLevel="2">
      <c r="A49" s="8">
        <v>36</v>
      </c>
      <c r="B49" s="9" t="s">
        <v>213</v>
      </c>
      <c r="C49" s="1" t="s">
        <v>238</v>
      </c>
      <c r="D49" s="10" t="s">
        <v>46</v>
      </c>
      <c r="E49" s="91">
        <v>2</v>
      </c>
      <c r="G49" s="53">
        <f t="shared" si="4"/>
        <v>0</v>
      </c>
      <c r="L49" s="56"/>
    </row>
    <row r="50" spans="1:7" ht="15.75" customHeight="1" outlineLevel="2">
      <c r="A50" s="8">
        <v>37</v>
      </c>
      <c r="B50" s="9" t="s">
        <v>214</v>
      </c>
      <c r="C50" s="1" t="s">
        <v>239</v>
      </c>
      <c r="D50" s="10" t="s">
        <v>46</v>
      </c>
      <c r="E50" s="91">
        <f>1</f>
        <v>1</v>
      </c>
      <c r="G50" s="53">
        <f t="shared" si="4"/>
        <v>0</v>
      </c>
    </row>
    <row r="51" spans="1:7" ht="15" outlineLevel="2">
      <c r="A51" s="8">
        <v>38</v>
      </c>
      <c r="B51" s="9" t="s">
        <v>215</v>
      </c>
      <c r="C51" s="1" t="s">
        <v>228</v>
      </c>
      <c r="D51" s="10" t="s">
        <v>46</v>
      </c>
      <c r="E51" s="91">
        <f>1</f>
        <v>1</v>
      </c>
      <c r="G51" s="53">
        <f aca="true" t="shared" si="11" ref="G51:G52">E51*F51</f>
        <v>0</v>
      </c>
    </row>
    <row r="52" spans="1:12" ht="25.5" outlineLevel="2">
      <c r="A52" s="8">
        <v>39</v>
      </c>
      <c r="B52" s="9" t="s">
        <v>216</v>
      </c>
      <c r="C52" s="1" t="s">
        <v>235</v>
      </c>
      <c r="D52" s="10" t="s">
        <v>46</v>
      </c>
      <c r="E52" s="91">
        <v>2</v>
      </c>
      <c r="G52" s="53">
        <f t="shared" si="11"/>
        <v>0</v>
      </c>
      <c r="L52" s="56"/>
    </row>
    <row r="53" spans="1:7" ht="25.5" outlineLevel="2">
      <c r="A53" s="8">
        <v>40</v>
      </c>
      <c r="B53" s="9" t="s">
        <v>217</v>
      </c>
      <c r="C53" s="1" t="s">
        <v>236</v>
      </c>
      <c r="D53" s="10" t="s">
        <v>46</v>
      </c>
      <c r="E53" s="91">
        <v>1</v>
      </c>
      <c r="G53" s="53">
        <f aca="true" t="shared" si="12" ref="G53">E53*F53</f>
        <v>0</v>
      </c>
    </row>
    <row r="54" spans="1:7" s="78" customFormat="1" ht="15" outlineLevel="2">
      <c r="A54" s="77">
        <v>41</v>
      </c>
      <c r="B54" s="73" t="s">
        <v>218</v>
      </c>
      <c r="C54" s="74" t="s">
        <v>237</v>
      </c>
      <c r="D54" s="75" t="s">
        <v>46</v>
      </c>
      <c r="E54" s="92">
        <v>1</v>
      </c>
      <c r="F54" s="55"/>
      <c r="G54" s="53">
        <f aca="true" t="shared" si="13" ref="G54">E54*F54</f>
        <v>0</v>
      </c>
    </row>
    <row r="55" spans="1:7" s="78" customFormat="1" ht="25.5">
      <c r="A55" s="77">
        <v>42</v>
      </c>
      <c r="B55" s="73" t="s">
        <v>53</v>
      </c>
      <c r="C55" s="74" t="s">
        <v>54</v>
      </c>
      <c r="D55" s="75" t="s">
        <v>30</v>
      </c>
      <c r="E55" s="92">
        <f>2.4*5+2.4*6+1.8*1+1.8*1+2.4*27+10+2.4*36+14.4+1.2+1.2+14.4+10.8*1+2.4*17+0.6*8+2.4*1+2.4*2+1.5*3+2.4*2+3+2.4*28+2.4*2+1.5*2+2.4*9+0.6*1+2.4*9+0.6*5+1.8*2+2.4*3+2.4*30+1.2*12+2.4*18+2.4*2+2.4*2+2.4*2*1+2.4*20+2.4+2.4*3+2.4*30+120+10</f>
        <v>834.5</v>
      </c>
      <c r="F55" s="55"/>
      <c r="G55" s="53">
        <f t="shared" si="2"/>
        <v>0</v>
      </c>
    </row>
    <row r="56" spans="1:7" s="78" customFormat="1" ht="15">
      <c r="A56" s="77">
        <v>43</v>
      </c>
      <c r="B56" s="73" t="s">
        <v>55</v>
      </c>
      <c r="C56" s="74" t="s">
        <v>201</v>
      </c>
      <c r="D56" s="75" t="s">
        <v>30</v>
      </c>
      <c r="E56" s="92">
        <f>E55</f>
        <v>834.5</v>
      </c>
      <c r="F56" s="55"/>
      <c r="G56" s="53">
        <f t="shared" si="2"/>
        <v>0</v>
      </c>
    </row>
    <row r="57" spans="1:7" s="78" customFormat="1" ht="15">
      <c r="A57" s="77" t="s">
        <v>261</v>
      </c>
      <c r="B57" s="73" t="s">
        <v>43</v>
      </c>
      <c r="C57" s="74" t="s">
        <v>260</v>
      </c>
      <c r="D57" s="75" t="s">
        <v>10</v>
      </c>
      <c r="E57" s="92">
        <f>6*1*1.5+8*(2.4*2.4)+4*0.6*1.5+4*(0.6*1.5)+6*(1.2*1.5)+6</f>
        <v>79.08</v>
      </c>
      <c r="F57" s="55"/>
      <c r="G57" s="53">
        <f aca="true" t="shared" si="14" ref="G57">E57*F57</f>
        <v>0</v>
      </c>
    </row>
    <row r="58" spans="1:7" ht="15">
      <c r="A58" s="18"/>
      <c r="B58" s="3"/>
      <c r="C58" s="3" t="s">
        <v>56</v>
      </c>
      <c r="D58" s="3"/>
      <c r="E58" s="90"/>
      <c r="F58" s="19"/>
      <c r="G58" s="52">
        <f>SUM(G59:G70)</f>
        <v>0</v>
      </c>
    </row>
    <row r="59" spans="1:7" s="61" customFormat="1" ht="15">
      <c r="A59" s="20">
        <v>44</v>
      </c>
      <c r="B59" s="21" t="s">
        <v>57</v>
      </c>
      <c r="C59" s="57" t="s">
        <v>182</v>
      </c>
      <c r="D59" s="58" t="s">
        <v>52</v>
      </c>
      <c r="E59" s="92">
        <v>1</v>
      </c>
      <c r="F59" s="59"/>
      <c r="G59" s="60">
        <f>E59*F59</f>
        <v>0</v>
      </c>
    </row>
    <row r="60" spans="1:7" s="61" customFormat="1" ht="30.75" customHeight="1">
      <c r="A60" s="20">
        <v>45</v>
      </c>
      <c r="B60" s="21" t="s">
        <v>58</v>
      </c>
      <c r="C60" s="57" t="s">
        <v>240</v>
      </c>
      <c r="D60" s="58" t="s">
        <v>46</v>
      </c>
      <c r="E60" s="92">
        <v>4</v>
      </c>
      <c r="F60" s="59"/>
      <c r="G60" s="60">
        <f>E60*F60</f>
        <v>0</v>
      </c>
    </row>
    <row r="61" spans="1:7" s="61" customFormat="1" ht="15">
      <c r="A61" s="20">
        <v>46</v>
      </c>
      <c r="B61" s="21" t="s">
        <v>59</v>
      </c>
      <c r="C61" s="62" t="s">
        <v>60</v>
      </c>
      <c r="D61" s="58" t="s">
        <v>61</v>
      </c>
      <c r="E61" s="92">
        <v>2</v>
      </c>
      <c r="F61" s="59"/>
      <c r="G61" s="60">
        <f>E61*F61</f>
        <v>0</v>
      </c>
    </row>
    <row r="62" spans="1:7" s="61" customFormat="1" ht="20.25" customHeight="1">
      <c r="A62" s="20">
        <v>47</v>
      </c>
      <c r="B62" s="21" t="s">
        <v>59</v>
      </c>
      <c r="C62" s="57" t="s">
        <v>241</v>
      </c>
      <c r="D62" s="58" t="s">
        <v>61</v>
      </c>
      <c r="E62" s="92">
        <v>3</v>
      </c>
      <c r="F62" s="59"/>
      <c r="G62" s="60">
        <f>E62*F62</f>
        <v>0</v>
      </c>
    </row>
    <row r="63" spans="1:7" s="61" customFormat="1" ht="15">
      <c r="A63" s="20">
        <v>48</v>
      </c>
      <c r="B63" s="21" t="s">
        <v>59</v>
      </c>
      <c r="C63" s="57" t="s">
        <v>197</v>
      </c>
      <c r="D63" s="63" t="s">
        <v>10</v>
      </c>
      <c r="E63" s="92">
        <v>11.6</v>
      </c>
      <c r="F63" s="59"/>
      <c r="G63" s="60">
        <f aca="true" t="shared" si="15" ref="G63:G70">E63*F63</f>
        <v>0</v>
      </c>
    </row>
    <row r="64" spans="1:7" s="61" customFormat="1" ht="15">
      <c r="A64" s="20">
        <v>49</v>
      </c>
      <c r="B64" s="21" t="s">
        <v>59</v>
      </c>
      <c r="C64" s="57" t="s">
        <v>199</v>
      </c>
      <c r="D64" s="58" t="s">
        <v>62</v>
      </c>
      <c r="E64" s="92">
        <v>3</v>
      </c>
      <c r="F64" s="59"/>
      <c r="G64" s="60">
        <f t="shared" si="15"/>
        <v>0</v>
      </c>
    </row>
    <row r="65" spans="1:7" s="61" customFormat="1" ht="15">
      <c r="A65" s="64">
        <v>50</v>
      </c>
      <c r="B65" s="65" t="s">
        <v>59</v>
      </c>
      <c r="C65" s="57" t="s">
        <v>178</v>
      </c>
      <c r="D65" s="66" t="s">
        <v>30</v>
      </c>
      <c r="E65" s="92">
        <v>285</v>
      </c>
      <c r="F65" s="67"/>
      <c r="G65" s="60">
        <f t="shared" si="15"/>
        <v>0</v>
      </c>
    </row>
    <row r="66" spans="1:7" s="78" customFormat="1" ht="15">
      <c r="A66" s="79">
        <v>51</v>
      </c>
      <c r="B66" s="80" t="s">
        <v>59</v>
      </c>
      <c r="C66" s="81" t="s">
        <v>198</v>
      </c>
      <c r="D66" s="82" t="s">
        <v>62</v>
      </c>
      <c r="E66" s="94">
        <v>255</v>
      </c>
      <c r="F66" s="83"/>
      <c r="G66" s="60">
        <f t="shared" si="15"/>
        <v>0</v>
      </c>
    </row>
    <row r="67" spans="1:7" s="78" customFormat="1" ht="15">
      <c r="A67" s="79" t="s">
        <v>262</v>
      </c>
      <c r="B67" s="80" t="s">
        <v>43</v>
      </c>
      <c r="C67" s="81" t="s">
        <v>256</v>
      </c>
      <c r="D67" s="82" t="s">
        <v>10</v>
      </c>
      <c r="E67" s="94">
        <f>18*2*(2.4*2.4)+36*(2.4*2.4)+7*(2.4*2.4)+30*(2.4*2.4)+12*(2.4*2.4)+30*(2.4*2.4)+25</f>
        <v>894.7599999999999</v>
      </c>
      <c r="F67" s="83"/>
      <c r="G67" s="60">
        <f t="shared" si="15"/>
        <v>0</v>
      </c>
    </row>
    <row r="68" spans="1:7" s="78" customFormat="1" ht="15">
      <c r="A68" s="79" t="s">
        <v>263</v>
      </c>
      <c r="B68" s="80" t="s">
        <v>43</v>
      </c>
      <c r="C68" s="81" t="s">
        <v>257</v>
      </c>
      <c r="D68" s="82" t="s">
        <v>10</v>
      </c>
      <c r="E68" s="94">
        <f>8*(2.4*2.4)+3</f>
        <v>49.08</v>
      </c>
      <c r="F68" s="83"/>
      <c r="G68" s="60">
        <f t="shared" si="15"/>
        <v>0</v>
      </c>
    </row>
    <row r="69" spans="1:7" s="78" customFormat="1" ht="15">
      <c r="A69" s="79" t="s">
        <v>264</v>
      </c>
      <c r="B69" s="80" t="s">
        <v>43</v>
      </c>
      <c r="C69" s="81" t="s">
        <v>258</v>
      </c>
      <c r="D69" s="82" t="s">
        <v>10</v>
      </c>
      <c r="E69" s="94">
        <f>2.4*1.5</f>
        <v>3.5999999999999996</v>
      </c>
      <c r="F69" s="83"/>
      <c r="G69" s="60">
        <f t="shared" si="15"/>
        <v>0</v>
      </c>
    </row>
    <row r="70" spans="1:7" s="78" customFormat="1" ht="15">
      <c r="A70" s="79" t="s">
        <v>265</v>
      </c>
      <c r="B70" s="80" t="s">
        <v>43</v>
      </c>
      <c r="C70" s="81" t="s">
        <v>259</v>
      </c>
      <c r="D70" s="82" t="s">
        <v>10</v>
      </c>
      <c r="E70" s="94">
        <f>2.4*2.1*2</f>
        <v>10.08</v>
      </c>
      <c r="F70" s="83"/>
      <c r="G70" s="60">
        <f t="shared" si="15"/>
        <v>0</v>
      </c>
    </row>
    <row r="71" spans="3:7" ht="15">
      <c r="C71" s="3" t="s">
        <v>63</v>
      </c>
      <c r="D71" s="3"/>
      <c r="E71" s="90"/>
      <c r="F71" s="19"/>
      <c r="G71" s="52">
        <f>SUM(G72:G75)</f>
        <v>0</v>
      </c>
    </row>
    <row r="72" spans="1:7" ht="25.5">
      <c r="A72" s="8">
        <v>52</v>
      </c>
      <c r="B72" s="9" t="s">
        <v>64</v>
      </c>
      <c r="C72" s="1" t="s">
        <v>65</v>
      </c>
      <c r="D72" s="10" t="s">
        <v>10</v>
      </c>
      <c r="E72" s="91">
        <f>3650*1.15</f>
        <v>4197.5</v>
      </c>
      <c r="G72" s="53">
        <f>E72*F72</f>
        <v>0</v>
      </c>
    </row>
    <row r="73" spans="1:7" ht="25.5">
      <c r="A73" s="8">
        <v>53</v>
      </c>
      <c r="B73" s="9" t="s">
        <v>66</v>
      </c>
      <c r="C73" s="1" t="s">
        <v>67</v>
      </c>
      <c r="D73" s="10" t="s">
        <v>10</v>
      </c>
      <c r="E73" s="91">
        <f>E72*2</f>
        <v>8395</v>
      </c>
      <c r="G73" s="53">
        <f>E73*F73</f>
        <v>0</v>
      </c>
    </row>
    <row r="74" spans="1:7" ht="25.5">
      <c r="A74" s="8">
        <v>54</v>
      </c>
      <c r="B74" s="9" t="s">
        <v>68</v>
      </c>
      <c r="C74" s="1" t="s">
        <v>69</v>
      </c>
      <c r="D74" s="10" t="s">
        <v>10</v>
      </c>
      <c r="E74" s="91">
        <f>E72</f>
        <v>4197.5</v>
      </c>
      <c r="G74" s="53">
        <f>E74*F74</f>
        <v>0</v>
      </c>
    </row>
    <row r="75" spans="1:7" ht="15">
      <c r="A75" s="64">
        <v>55</v>
      </c>
      <c r="B75" s="68" t="s">
        <v>219</v>
      </c>
      <c r="C75" s="1" t="s">
        <v>70</v>
      </c>
      <c r="D75" s="10" t="s">
        <v>10</v>
      </c>
      <c r="E75" s="91">
        <f>E72</f>
        <v>4197.5</v>
      </c>
      <c r="G75" s="53">
        <f>E75*F75</f>
        <v>0</v>
      </c>
    </row>
    <row r="76" spans="1:7" ht="15">
      <c r="A76" s="20"/>
      <c r="C76" s="3" t="s">
        <v>71</v>
      </c>
      <c r="G76" s="22">
        <f>G77</f>
        <v>0</v>
      </c>
    </row>
    <row r="77" spans="1:7" ht="25.5">
      <c r="A77" s="64">
        <v>56</v>
      </c>
      <c r="B77" s="68" t="s">
        <v>255</v>
      </c>
      <c r="C77" s="1" t="s">
        <v>72</v>
      </c>
      <c r="D77" s="10" t="s">
        <v>10</v>
      </c>
      <c r="E77" s="91">
        <f>18*34+24.7*25.6+48.2*18+9*30+40.5*17.8+24.5*16+34*10+37*9.7</f>
        <v>4193.72</v>
      </c>
      <c r="G77" s="53">
        <f>E77*F77</f>
        <v>0</v>
      </c>
    </row>
    <row r="78" spans="1:7" ht="15">
      <c r="A78" s="20"/>
      <c r="C78" s="3" t="s">
        <v>73</v>
      </c>
      <c r="D78" s="3"/>
      <c r="E78" s="90"/>
      <c r="F78" s="19"/>
      <c r="G78" s="52">
        <f>SUM(G79:G94)</f>
        <v>0</v>
      </c>
    </row>
    <row r="79" spans="1:7" ht="15">
      <c r="A79" s="8">
        <v>57</v>
      </c>
      <c r="B79" s="9" t="s">
        <v>74</v>
      </c>
      <c r="C79" s="1" t="s">
        <v>75</v>
      </c>
      <c r="D79" s="10" t="s">
        <v>76</v>
      </c>
      <c r="E79" s="91">
        <v>156</v>
      </c>
      <c r="G79" s="53">
        <f aca="true" t="shared" si="16" ref="G79:G94">E79*F79</f>
        <v>0</v>
      </c>
    </row>
    <row r="80" spans="1:7" ht="15">
      <c r="A80" s="8">
        <v>58</v>
      </c>
      <c r="B80" s="9" t="s">
        <v>77</v>
      </c>
      <c r="C80" s="1" t="s">
        <v>78</v>
      </c>
      <c r="D80" s="10" t="s">
        <v>76</v>
      </c>
      <c r="E80" s="91">
        <f>2*E79</f>
        <v>312</v>
      </c>
      <c r="G80" s="53">
        <f t="shared" si="16"/>
        <v>0</v>
      </c>
    </row>
    <row r="81" spans="1:7" ht="15">
      <c r="A81" s="8">
        <v>59</v>
      </c>
      <c r="B81" s="9" t="s">
        <v>79</v>
      </c>
      <c r="C81" s="1" t="s">
        <v>80</v>
      </c>
      <c r="D81" s="10" t="s">
        <v>76</v>
      </c>
      <c r="E81" s="91">
        <f>E79</f>
        <v>156</v>
      </c>
      <c r="G81" s="53">
        <f t="shared" si="16"/>
        <v>0</v>
      </c>
    </row>
    <row r="82" spans="1:7" ht="25.5">
      <c r="A82" s="8">
        <v>60</v>
      </c>
      <c r="B82" s="9" t="s">
        <v>81</v>
      </c>
      <c r="C82" s="1" t="s">
        <v>82</v>
      </c>
      <c r="D82" s="10" t="s">
        <v>76</v>
      </c>
      <c r="E82" s="91">
        <f>6*E81</f>
        <v>936</v>
      </c>
      <c r="G82" s="53">
        <f t="shared" si="16"/>
        <v>0</v>
      </c>
    </row>
    <row r="83" spans="1:7" ht="15">
      <c r="A83" s="8">
        <v>61</v>
      </c>
      <c r="B83" s="9" t="s">
        <v>83</v>
      </c>
      <c r="C83" s="1" t="s">
        <v>84</v>
      </c>
      <c r="D83" s="10" t="s">
        <v>76</v>
      </c>
      <c r="E83" s="91">
        <f>E79</f>
        <v>156</v>
      </c>
      <c r="G83" s="53">
        <f t="shared" si="16"/>
        <v>0</v>
      </c>
    </row>
    <row r="84" spans="1:7" ht="15">
      <c r="A84" s="8">
        <v>62</v>
      </c>
      <c r="B84" s="9" t="s">
        <v>85</v>
      </c>
      <c r="C84" s="1" t="s">
        <v>86</v>
      </c>
      <c r="D84" s="10" t="s">
        <v>76</v>
      </c>
      <c r="E84" s="91">
        <f>5*E83</f>
        <v>780</v>
      </c>
      <c r="G84" s="53">
        <f t="shared" si="16"/>
        <v>0</v>
      </c>
    </row>
    <row r="85" spans="1:7" ht="15">
      <c r="A85" s="8">
        <v>63</v>
      </c>
      <c r="B85" s="9" t="s">
        <v>87</v>
      </c>
      <c r="C85" s="1" t="s">
        <v>88</v>
      </c>
      <c r="D85" s="10" t="s">
        <v>76</v>
      </c>
      <c r="E85" s="91">
        <f>E79</f>
        <v>156</v>
      </c>
      <c r="G85" s="53">
        <f t="shared" si="16"/>
        <v>0</v>
      </c>
    </row>
    <row r="86" spans="1:7" ht="15">
      <c r="A86" s="8">
        <v>64</v>
      </c>
      <c r="B86" s="9" t="s">
        <v>89</v>
      </c>
      <c r="C86" s="1" t="s">
        <v>90</v>
      </c>
      <c r="D86" s="10" t="s">
        <v>91</v>
      </c>
      <c r="E86" s="91">
        <v>16</v>
      </c>
      <c r="G86" s="53">
        <f t="shared" si="16"/>
        <v>0</v>
      </c>
    </row>
    <row r="87" spans="1:7" ht="15">
      <c r="A87" s="8">
        <v>65</v>
      </c>
      <c r="B87" s="9" t="s">
        <v>92</v>
      </c>
      <c r="C87" s="1" t="s">
        <v>93</v>
      </c>
      <c r="D87" s="10" t="s">
        <v>46</v>
      </c>
      <c r="E87" s="91">
        <v>309</v>
      </c>
      <c r="G87" s="53">
        <f t="shared" si="16"/>
        <v>0</v>
      </c>
    </row>
    <row r="88" spans="1:7" ht="15">
      <c r="A88" s="8">
        <v>66</v>
      </c>
      <c r="B88" s="9" t="s">
        <v>94</v>
      </c>
      <c r="C88" s="1" t="s">
        <v>95</v>
      </c>
      <c r="D88" s="10" t="s">
        <v>10</v>
      </c>
      <c r="E88" s="91">
        <f>1.5+15+2.9+7.2+10.8+10.8+4.5+0.75+4.5+15.12+21.6+15.12+5.04+25</f>
        <v>139.83000000000004</v>
      </c>
      <c r="G88" s="53">
        <f t="shared" si="16"/>
        <v>0</v>
      </c>
    </row>
    <row r="89" spans="1:7" ht="15">
      <c r="A89" s="8">
        <v>67</v>
      </c>
      <c r="B89" s="9" t="s">
        <v>96</v>
      </c>
      <c r="C89" s="1" t="s">
        <v>97</v>
      </c>
      <c r="D89" s="10" t="s">
        <v>10</v>
      </c>
      <c r="E89" s="91">
        <f>25.2+30.24+4+4+97.2+15+207.4+51.8+51.8+39+97.92+1.5+10+16.8+161.3+14+32.4+51.8+7.6+172.4+65+15.12+3+115+13+173</f>
        <v>1475.4799999999998</v>
      </c>
      <c r="G89" s="53">
        <f t="shared" si="16"/>
        <v>0</v>
      </c>
    </row>
    <row r="90" spans="1:7" ht="15">
      <c r="A90" s="8">
        <v>68</v>
      </c>
      <c r="B90" s="9" t="s">
        <v>98</v>
      </c>
      <c r="C90" s="1" t="s">
        <v>99</v>
      </c>
      <c r="D90" s="10" t="s">
        <v>46</v>
      </c>
      <c r="E90" s="91">
        <v>3</v>
      </c>
      <c r="G90" s="53">
        <f t="shared" si="16"/>
        <v>0</v>
      </c>
    </row>
    <row r="91" spans="1:7" s="78" customFormat="1" ht="25.5">
      <c r="A91" s="77">
        <v>69</v>
      </c>
      <c r="B91" s="73" t="s">
        <v>100</v>
      </c>
      <c r="C91" s="74" t="s">
        <v>101</v>
      </c>
      <c r="D91" s="75" t="s">
        <v>10</v>
      </c>
      <c r="E91" s="92">
        <f>3*5.3</f>
        <v>15.899999999999999</v>
      </c>
      <c r="F91" s="55"/>
      <c r="G91" s="53">
        <f t="shared" si="16"/>
        <v>0</v>
      </c>
    </row>
    <row r="92" spans="1:7" s="78" customFormat="1" ht="15">
      <c r="A92" s="77">
        <v>70</v>
      </c>
      <c r="B92" s="73" t="s">
        <v>243</v>
      </c>
      <c r="C92" s="74" t="s">
        <v>242</v>
      </c>
      <c r="D92" s="75" t="s">
        <v>10</v>
      </c>
      <c r="E92" s="92">
        <v>346.9</v>
      </c>
      <c r="F92" s="55"/>
      <c r="G92" s="53">
        <f t="shared" si="16"/>
        <v>0</v>
      </c>
    </row>
    <row r="93" spans="1:7" s="78" customFormat="1" ht="15">
      <c r="A93" s="77">
        <v>71</v>
      </c>
      <c r="B93" s="73" t="s">
        <v>244</v>
      </c>
      <c r="C93" s="74" t="s">
        <v>245</v>
      </c>
      <c r="D93" s="75" t="s">
        <v>246</v>
      </c>
      <c r="E93" s="92">
        <f>4*15+2*11+15</f>
        <v>97</v>
      </c>
      <c r="F93" s="55"/>
      <c r="G93" s="53">
        <f aca="true" t="shared" si="17" ref="G93">E93*F93</f>
        <v>0</v>
      </c>
    </row>
    <row r="94" spans="1:7" ht="15">
      <c r="A94" s="8">
        <v>72</v>
      </c>
      <c r="B94" s="9" t="s">
        <v>102</v>
      </c>
      <c r="C94" s="1" t="s">
        <v>200</v>
      </c>
      <c r="D94" s="10" t="s">
        <v>10</v>
      </c>
      <c r="E94" s="91">
        <f>0.8*1.8</f>
        <v>1.4400000000000002</v>
      </c>
      <c r="G94" s="53">
        <f t="shared" si="16"/>
        <v>0</v>
      </c>
    </row>
    <row r="95" spans="3:7" ht="15">
      <c r="C95" s="3" t="s">
        <v>103</v>
      </c>
      <c r="G95" s="22">
        <f>SUM(G96:G97)</f>
        <v>0</v>
      </c>
    </row>
    <row r="96" spans="1:7" ht="30">
      <c r="A96" s="8">
        <v>73</v>
      </c>
      <c r="B96" s="9" t="s">
        <v>104</v>
      </c>
      <c r="C96" s="57" t="s">
        <v>183</v>
      </c>
      <c r="D96" s="58" t="s">
        <v>52</v>
      </c>
      <c r="E96" s="95">
        <v>1</v>
      </c>
      <c r="F96" s="69"/>
      <c r="G96" s="60">
        <f>E96*F96</f>
        <v>0</v>
      </c>
    </row>
    <row r="97" spans="1:7" ht="30">
      <c r="A97" s="8">
        <v>74</v>
      </c>
      <c r="B97" s="9" t="s">
        <v>105</v>
      </c>
      <c r="C97" s="57" t="s">
        <v>184</v>
      </c>
      <c r="D97" s="58" t="s">
        <v>46</v>
      </c>
      <c r="E97" s="92">
        <v>8</v>
      </c>
      <c r="F97" s="59"/>
      <c r="G97" s="60">
        <f>E97*F97</f>
        <v>0</v>
      </c>
    </row>
    <row r="98" spans="1:7" ht="15">
      <c r="A98" s="18"/>
      <c r="B98" s="3"/>
      <c r="C98" s="3" t="s">
        <v>106</v>
      </c>
      <c r="D98" s="3"/>
      <c r="E98" s="90"/>
      <c r="F98" s="19"/>
      <c r="G98" s="52">
        <f>G99</f>
        <v>0</v>
      </c>
    </row>
    <row r="99" spans="1:7" ht="25.5">
      <c r="A99" s="8">
        <v>75</v>
      </c>
      <c r="B99" s="9" t="s">
        <v>247</v>
      </c>
      <c r="C99" s="1" t="s">
        <v>107</v>
      </c>
      <c r="D99" s="10" t="s">
        <v>76</v>
      </c>
      <c r="E99" s="91">
        <v>278</v>
      </c>
      <c r="G99" s="53">
        <f aca="true" t="shared" si="18" ref="G99:G110">E99*F99</f>
        <v>0</v>
      </c>
    </row>
    <row r="100" spans="3:7" ht="15">
      <c r="C100" s="3" t="s">
        <v>108</v>
      </c>
      <c r="G100" s="22">
        <f>SUM(G101:G111)</f>
        <v>0</v>
      </c>
    </row>
    <row r="101" spans="1:7" s="78" customFormat="1" ht="25.5">
      <c r="A101" s="77">
        <v>76</v>
      </c>
      <c r="B101" s="73" t="s">
        <v>109</v>
      </c>
      <c r="C101" s="74" t="s">
        <v>110</v>
      </c>
      <c r="D101" s="75" t="s">
        <v>10</v>
      </c>
      <c r="E101" s="96">
        <f>17.8*34+6*4.7+24.8*25+48.5*18.3+10+39.8*8.8+36.5*9.9+34.5*10+18.6*16+5.6*10+40*17.8+13*8</f>
        <v>4377.14</v>
      </c>
      <c r="F101" s="55"/>
      <c r="G101" s="53">
        <f>E101*F101</f>
        <v>0</v>
      </c>
    </row>
    <row r="102" spans="1:7" s="78" customFormat="1" ht="25.5">
      <c r="A102" s="77">
        <v>77</v>
      </c>
      <c r="B102" s="73" t="s">
        <v>111</v>
      </c>
      <c r="C102" s="74" t="s">
        <v>248</v>
      </c>
      <c r="D102" s="75" t="s">
        <v>10</v>
      </c>
      <c r="E102" s="96">
        <f>E101*0.15</f>
        <v>656.571</v>
      </c>
      <c r="F102" s="55"/>
      <c r="G102" s="53">
        <f t="shared" si="18"/>
        <v>0</v>
      </c>
    </row>
    <row r="103" spans="1:7" s="78" customFormat="1" ht="25.5">
      <c r="A103" s="77">
        <v>78</v>
      </c>
      <c r="B103" s="73" t="s">
        <v>112</v>
      </c>
      <c r="C103" s="74" t="s">
        <v>249</v>
      </c>
      <c r="D103" s="75" t="s">
        <v>10</v>
      </c>
      <c r="E103" s="96">
        <f>E101*0.15</f>
        <v>656.571</v>
      </c>
      <c r="F103" s="55"/>
      <c r="G103" s="53">
        <f t="shared" si="18"/>
        <v>0</v>
      </c>
    </row>
    <row r="104" spans="1:7" s="78" customFormat="1" ht="25.5">
      <c r="A104" s="77">
        <v>79</v>
      </c>
      <c r="B104" s="73" t="s">
        <v>113</v>
      </c>
      <c r="C104" s="74" t="s">
        <v>250</v>
      </c>
      <c r="D104" s="75" t="s">
        <v>10</v>
      </c>
      <c r="E104" s="96">
        <f>E102</f>
        <v>656.571</v>
      </c>
      <c r="F104" s="55"/>
      <c r="G104" s="53">
        <f t="shared" si="18"/>
        <v>0</v>
      </c>
    </row>
    <row r="105" spans="1:7" s="78" customFormat="1" ht="38.25">
      <c r="A105" s="77">
        <v>80</v>
      </c>
      <c r="B105" s="73" t="s">
        <v>114</v>
      </c>
      <c r="C105" s="74" t="s">
        <v>203</v>
      </c>
      <c r="D105" s="75" t="s">
        <v>10</v>
      </c>
      <c r="E105" s="96">
        <f>E101</f>
        <v>4377.14</v>
      </c>
      <c r="F105" s="55"/>
      <c r="G105" s="53">
        <f t="shared" si="18"/>
        <v>0</v>
      </c>
    </row>
    <row r="106" spans="1:7" s="78" customFormat="1" ht="15">
      <c r="A106" s="77">
        <v>81</v>
      </c>
      <c r="B106" s="73" t="s">
        <v>115</v>
      </c>
      <c r="C106" s="74" t="s">
        <v>202</v>
      </c>
      <c r="D106" s="75" t="s">
        <v>10</v>
      </c>
      <c r="E106" s="96">
        <f>E101</f>
        <v>4377.14</v>
      </c>
      <c r="F106" s="55"/>
      <c r="G106" s="53">
        <f>E106*F106</f>
        <v>0</v>
      </c>
    </row>
    <row r="107" spans="1:7" s="78" customFormat="1" ht="38.25">
      <c r="A107" s="77">
        <v>82</v>
      </c>
      <c r="B107" s="73" t="s">
        <v>116</v>
      </c>
      <c r="C107" s="74" t="s">
        <v>204</v>
      </c>
      <c r="D107" s="75" t="s">
        <v>10</v>
      </c>
      <c r="E107" s="96">
        <f>E101</f>
        <v>4377.14</v>
      </c>
      <c r="F107" s="55"/>
      <c r="G107" s="53">
        <f t="shared" si="18"/>
        <v>0</v>
      </c>
    </row>
    <row r="108" spans="1:7" s="78" customFormat="1" ht="15">
      <c r="A108" s="77">
        <v>83</v>
      </c>
      <c r="B108" s="73" t="s">
        <v>55</v>
      </c>
      <c r="C108" s="74" t="s">
        <v>206</v>
      </c>
      <c r="D108" s="75" t="s">
        <v>117</v>
      </c>
      <c r="E108" s="96">
        <v>57.8</v>
      </c>
      <c r="F108" s="55"/>
      <c r="G108" s="53">
        <f t="shared" si="18"/>
        <v>0</v>
      </c>
    </row>
    <row r="109" spans="1:7" s="78" customFormat="1" ht="15">
      <c r="A109" s="77">
        <v>84</v>
      </c>
      <c r="B109" s="73" t="s">
        <v>55</v>
      </c>
      <c r="C109" s="74" t="s">
        <v>205</v>
      </c>
      <c r="D109" s="75" t="s">
        <v>10</v>
      </c>
      <c r="E109" s="96">
        <f>E107*1.1+E104</f>
        <v>5471.425000000001</v>
      </c>
      <c r="F109" s="55"/>
      <c r="G109" s="53">
        <f t="shared" si="18"/>
        <v>0</v>
      </c>
    </row>
    <row r="110" spans="1:7" s="78" customFormat="1" ht="15">
      <c r="A110" s="77">
        <v>85</v>
      </c>
      <c r="B110" s="73" t="s">
        <v>55</v>
      </c>
      <c r="C110" s="74" t="s">
        <v>186</v>
      </c>
      <c r="D110" s="75" t="s">
        <v>10</v>
      </c>
      <c r="E110" s="96">
        <f>1.15*E107</f>
        <v>5033.711</v>
      </c>
      <c r="F110" s="55"/>
      <c r="G110" s="53">
        <f t="shared" si="18"/>
        <v>0</v>
      </c>
    </row>
    <row r="111" spans="1:7" ht="15">
      <c r="A111" s="64">
        <v>86</v>
      </c>
      <c r="B111" s="9" t="s">
        <v>118</v>
      </c>
      <c r="C111" s="1" t="s">
        <v>119</v>
      </c>
      <c r="D111" s="10" t="s">
        <v>120</v>
      </c>
      <c r="E111" s="92">
        <v>0.03</v>
      </c>
      <c r="F111" s="67"/>
      <c r="G111" s="70">
        <f>F111*0.03</f>
        <v>0</v>
      </c>
    </row>
    <row r="112" spans="2:7" ht="15">
      <c r="B112" s="3"/>
      <c r="C112" s="3" t="s">
        <v>121</v>
      </c>
      <c r="D112" s="3"/>
      <c r="E112" s="97"/>
      <c r="G112" s="22">
        <f>SUM(G113:G118)</f>
        <v>0</v>
      </c>
    </row>
    <row r="113" spans="1:7" ht="15">
      <c r="A113" s="8">
        <v>87</v>
      </c>
      <c r="B113" s="9" t="s">
        <v>122</v>
      </c>
      <c r="C113" s="1" t="s">
        <v>123</v>
      </c>
      <c r="D113" s="10" t="s">
        <v>10</v>
      </c>
      <c r="E113" s="98">
        <f>E101</f>
        <v>4377.14</v>
      </c>
      <c r="G113" s="53">
        <f aca="true" t="shared" si="19" ref="G113:G117">E113*F113</f>
        <v>0</v>
      </c>
    </row>
    <row r="114" spans="1:7" ht="25.5">
      <c r="A114" s="8">
        <v>88</v>
      </c>
      <c r="B114" s="9" t="s">
        <v>55</v>
      </c>
      <c r="C114" s="1" t="s">
        <v>251</v>
      </c>
      <c r="D114" s="10" t="s">
        <v>10</v>
      </c>
      <c r="E114" s="98">
        <f>1.15*E113-E115</f>
        <v>4286.211</v>
      </c>
      <c r="G114" s="53">
        <f t="shared" si="19"/>
        <v>0</v>
      </c>
    </row>
    <row r="115" spans="1:7" ht="25.5">
      <c r="A115" s="8">
        <v>89</v>
      </c>
      <c r="B115" s="9" t="s">
        <v>55</v>
      </c>
      <c r="C115" s="1" t="s">
        <v>252</v>
      </c>
      <c r="D115" s="10" t="s">
        <v>10</v>
      </c>
      <c r="E115" s="98">
        <f>1.15*25*26</f>
        <v>747.4999999999999</v>
      </c>
      <c r="G115" s="53">
        <f aca="true" t="shared" si="20" ref="G115">E115*F115</f>
        <v>0</v>
      </c>
    </row>
    <row r="116" spans="1:7" ht="25.5">
      <c r="A116" s="8">
        <v>90</v>
      </c>
      <c r="B116" s="9" t="s">
        <v>124</v>
      </c>
      <c r="C116" s="1" t="s">
        <v>125</v>
      </c>
      <c r="D116" s="10" t="s">
        <v>30</v>
      </c>
      <c r="E116" s="98">
        <v>188</v>
      </c>
      <c r="G116" s="53">
        <f t="shared" si="19"/>
        <v>0</v>
      </c>
    </row>
    <row r="117" spans="1:7" ht="15">
      <c r="A117" s="8">
        <v>91</v>
      </c>
      <c r="B117" s="9" t="s">
        <v>55</v>
      </c>
      <c r="C117" s="1" t="s">
        <v>185</v>
      </c>
      <c r="D117" s="10" t="s">
        <v>30</v>
      </c>
      <c r="E117" s="98">
        <f>1.1*E116</f>
        <v>206.8</v>
      </c>
      <c r="G117" s="53">
        <f t="shared" si="19"/>
        <v>0</v>
      </c>
    </row>
    <row r="118" spans="1:7" ht="15">
      <c r="A118" s="64">
        <v>92</v>
      </c>
      <c r="B118" s="9" t="s">
        <v>126</v>
      </c>
      <c r="C118" s="1" t="s">
        <v>127</v>
      </c>
      <c r="D118" s="10" t="s">
        <v>120</v>
      </c>
      <c r="E118" s="98">
        <v>0.02</v>
      </c>
      <c r="F118" s="67"/>
      <c r="G118" s="70">
        <f>0.02*F118</f>
        <v>0</v>
      </c>
    </row>
    <row r="119" spans="2:7" ht="15">
      <c r="B119" s="3"/>
      <c r="C119" s="3" t="s">
        <v>128</v>
      </c>
      <c r="D119" s="3"/>
      <c r="E119" s="97"/>
      <c r="G119" s="52">
        <f>SUM(G120:G125)</f>
        <v>0</v>
      </c>
    </row>
    <row r="120" spans="1:7" ht="15">
      <c r="A120" s="8">
        <v>93</v>
      </c>
      <c r="B120" s="9" t="s">
        <v>129</v>
      </c>
      <c r="C120" s="1" t="s">
        <v>130</v>
      </c>
      <c r="D120" s="10" t="s">
        <v>46</v>
      </c>
      <c r="E120" s="92">
        <v>26</v>
      </c>
      <c r="G120" s="53">
        <f>E120*F120</f>
        <v>0</v>
      </c>
    </row>
    <row r="121" spans="1:7" ht="25.5">
      <c r="A121" s="8">
        <v>94</v>
      </c>
      <c r="B121" s="9" t="s">
        <v>131</v>
      </c>
      <c r="C121" s="1" t="s">
        <v>132</v>
      </c>
      <c r="D121" s="10" t="s">
        <v>46</v>
      </c>
      <c r="E121" s="92">
        <v>26</v>
      </c>
      <c r="G121" s="53">
        <f>E121*F121</f>
        <v>0</v>
      </c>
    </row>
    <row r="122" spans="1:7" ht="15">
      <c r="A122" s="8">
        <v>95</v>
      </c>
      <c r="B122" s="9" t="s">
        <v>133</v>
      </c>
      <c r="C122" s="1" t="s">
        <v>134</v>
      </c>
      <c r="D122" s="10" t="s">
        <v>46</v>
      </c>
      <c r="E122" s="92">
        <v>44</v>
      </c>
      <c r="G122" s="53">
        <f>E122*F122</f>
        <v>0</v>
      </c>
    </row>
    <row r="123" spans="1:7" ht="15">
      <c r="A123" s="8">
        <v>96</v>
      </c>
      <c r="B123" s="9" t="s">
        <v>135</v>
      </c>
      <c r="C123" s="1" t="s">
        <v>136</v>
      </c>
      <c r="D123" s="10" t="s">
        <v>46</v>
      </c>
      <c r="E123" s="92">
        <v>44</v>
      </c>
      <c r="G123" s="53">
        <f>E123*F123</f>
        <v>0</v>
      </c>
    </row>
    <row r="124" spans="1:7" ht="15">
      <c r="A124" s="8">
        <v>97</v>
      </c>
      <c r="B124" s="9" t="s">
        <v>137</v>
      </c>
      <c r="C124" s="1" t="s">
        <v>138</v>
      </c>
      <c r="D124" s="10" t="s">
        <v>30</v>
      </c>
      <c r="E124" s="92">
        <v>56</v>
      </c>
      <c r="G124" s="53">
        <f>E124*F124</f>
        <v>0</v>
      </c>
    </row>
    <row r="125" spans="1:7" ht="15">
      <c r="A125" s="64">
        <v>98</v>
      </c>
      <c r="B125" s="9" t="s">
        <v>139</v>
      </c>
      <c r="C125" s="1" t="s">
        <v>140</v>
      </c>
      <c r="D125" s="10" t="s">
        <v>120</v>
      </c>
      <c r="E125" s="91">
        <v>0.03</v>
      </c>
      <c r="F125" s="67"/>
      <c r="G125" s="70">
        <f>F125*0.03</f>
        <v>0</v>
      </c>
    </row>
    <row r="126" spans="1:7" ht="15">
      <c r="A126" s="18"/>
      <c r="B126" s="3"/>
      <c r="C126" s="3" t="s">
        <v>141</v>
      </c>
      <c r="D126" s="3"/>
      <c r="E126" s="90"/>
      <c r="F126" s="19"/>
      <c r="G126" s="52">
        <f>SUM(G127:G135)</f>
        <v>0</v>
      </c>
    </row>
    <row r="127" spans="1:7" ht="15">
      <c r="A127" s="8">
        <v>99</v>
      </c>
      <c r="B127" s="9" t="s">
        <v>142</v>
      </c>
      <c r="C127" s="1" t="s">
        <v>143</v>
      </c>
      <c r="D127" s="10" t="s">
        <v>30</v>
      </c>
      <c r="E127" s="91">
        <f>34+34+18+18+2*25.6+2*24.7+20+18*2+48*2+40*2+9*2+40*2+18*2+25*2+16*2+34+2*10+2*10+20+37+40</f>
        <v>823.6</v>
      </c>
      <c r="G127" s="53">
        <f aca="true" t="shared" si="21" ref="G127:G134">E127*F127</f>
        <v>0</v>
      </c>
    </row>
    <row r="128" spans="1:7" ht="15">
      <c r="A128" s="8">
        <v>100</v>
      </c>
      <c r="B128" s="9" t="s">
        <v>144</v>
      </c>
      <c r="C128" s="1" t="s">
        <v>145</v>
      </c>
      <c r="D128" s="10" t="s">
        <v>30</v>
      </c>
      <c r="E128" s="91">
        <f>E127</f>
        <v>823.6</v>
      </c>
      <c r="G128" s="53">
        <f t="shared" si="21"/>
        <v>0</v>
      </c>
    </row>
    <row r="129" spans="1:7" s="78" customFormat="1" ht="25.5">
      <c r="A129" s="77">
        <v>101</v>
      </c>
      <c r="B129" s="73" t="s">
        <v>253</v>
      </c>
      <c r="C129" s="74" t="s">
        <v>270</v>
      </c>
      <c r="D129" s="75" t="s">
        <v>30</v>
      </c>
      <c r="E129" s="92">
        <f>E127</f>
        <v>823.6</v>
      </c>
      <c r="F129" s="55"/>
      <c r="G129" s="53">
        <f>E129*F129</f>
        <v>0</v>
      </c>
    </row>
    <row r="130" spans="1:7" ht="25.5">
      <c r="A130" s="8">
        <v>102</v>
      </c>
      <c r="B130" s="9" t="s">
        <v>146</v>
      </c>
      <c r="C130" s="1" t="s">
        <v>187</v>
      </c>
      <c r="D130" s="10" t="s">
        <v>30</v>
      </c>
      <c r="E130" s="91">
        <f>E127</f>
        <v>823.6</v>
      </c>
      <c r="G130" s="53">
        <f t="shared" si="21"/>
        <v>0</v>
      </c>
    </row>
    <row r="131" spans="1:7" ht="15">
      <c r="A131" s="8">
        <v>103</v>
      </c>
      <c r="B131" s="9" t="s">
        <v>147</v>
      </c>
      <c r="C131" s="1" t="s">
        <v>148</v>
      </c>
      <c r="D131" s="10" t="s">
        <v>30</v>
      </c>
      <c r="E131" s="91">
        <f>E55</f>
        <v>834.5</v>
      </c>
      <c r="G131" s="53">
        <f t="shared" si="21"/>
        <v>0</v>
      </c>
    </row>
    <row r="132" spans="1:7" ht="25.5">
      <c r="A132" s="8">
        <v>104</v>
      </c>
      <c r="B132" s="9" t="s">
        <v>149</v>
      </c>
      <c r="C132" s="1" t="s">
        <v>150</v>
      </c>
      <c r="D132" s="10" t="s">
        <v>62</v>
      </c>
      <c r="E132" s="91">
        <v>3</v>
      </c>
      <c r="G132" s="53">
        <f t="shared" si="21"/>
        <v>0</v>
      </c>
    </row>
    <row r="133" spans="1:7" ht="25.5">
      <c r="A133" s="8">
        <v>105</v>
      </c>
      <c r="B133" s="9" t="s">
        <v>151</v>
      </c>
      <c r="C133" s="1" t="s">
        <v>207</v>
      </c>
      <c r="D133" s="10" t="s">
        <v>61</v>
      </c>
      <c r="E133" s="91">
        <v>1</v>
      </c>
      <c r="G133" s="53">
        <f t="shared" si="21"/>
        <v>0</v>
      </c>
    </row>
    <row r="134" spans="1:7" ht="15">
      <c r="A134" s="8">
        <v>106</v>
      </c>
      <c r="B134" s="9" t="s">
        <v>152</v>
      </c>
      <c r="C134" s="1" t="s">
        <v>208</v>
      </c>
      <c r="D134" s="10" t="s">
        <v>61</v>
      </c>
      <c r="E134" s="91">
        <v>2</v>
      </c>
      <c r="G134" s="53">
        <f t="shared" si="21"/>
        <v>0</v>
      </c>
    </row>
    <row r="135" spans="1:7" ht="15">
      <c r="A135" s="8">
        <v>107</v>
      </c>
      <c r="B135" s="9" t="s">
        <v>153</v>
      </c>
      <c r="C135" s="1" t="s">
        <v>154</v>
      </c>
      <c r="D135" s="10" t="s">
        <v>120</v>
      </c>
      <c r="E135" s="91">
        <v>0.02</v>
      </c>
      <c r="G135" s="53">
        <f>F135*0.02</f>
        <v>0</v>
      </c>
    </row>
    <row r="136" spans="1:7" ht="15">
      <c r="A136" s="18"/>
      <c r="B136" s="3"/>
      <c r="C136" s="3" t="s">
        <v>155</v>
      </c>
      <c r="D136" s="3"/>
      <c r="E136" s="90"/>
      <c r="F136" s="19"/>
      <c r="G136" s="52">
        <f>SUM(G137:G139)</f>
        <v>0</v>
      </c>
    </row>
    <row r="137" spans="1:7" ht="15">
      <c r="A137" s="8">
        <v>108</v>
      </c>
      <c r="B137" s="9" t="s">
        <v>156</v>
      </c>
      <c r="C137" s="1" t="s">
        <v>157</v>
      </c>
      <c r="D137" s="10" t="s">
        <v>30</v>
      </c>
      <c r="E137" s="91">
        <f>2.4*5+2.4*6+1.2+1.8+2.4*27+10+2.4*36+14.4+1.2*2+14.4+10.8+2.4*17+0.6*8+2.4*1+2.4*2+1.5*3+2.4*2+2.4*28+2.4*2+3+2.4*9+0.6+2.4*9+0.6*5+1.8*2+2.4*3+2.4*30+1.2*12+2.4*18+2.4*3+2.4*20+2.4*30+40</f>
        <v>724.1000000000001</v>
      </c>
      <c r="G137" s="53">
        <f>E137*F137</f>
        <v>0</v>
      </c>
    </row>
    <row r="138" spans="1:7" ht="15">
      <c r="A138" s="8">
        <v>109</v>
      </c>
      <c r="B138" s="9" t="s">
        <v>158</v>
      </c>
      <c r="C138" s="1" t="s">
        <v>159</v>
      </c>
      <c r="D138" s="10" t="s">
        <v>30</v>
      </c>
      <c r="E138" s="91">
        <f>E137</f>
        <v>724.1000000000001</v>
      </c>
      <c r="G138" s="53">
        <f>E138*F138</f>
        <v>0</v>
      </c>
    </row>
    <row r="139" spans="1:7" ht="15">
      <c r="A139" s="8">
        <v>110</v>
      </c>
      <c r="B139" s="9" t="s">
        <v>160</v>
      </c>
      <c r="C139" s="1" t="s">
        <v>161</v>
      </c>
      <c r="D139" s="10" t="s">
        <v>120</v>
      </c>
      <c r="E139" s="91">
        <v>4</v>
      </c>
      <c r="G139" s="53">
        <f>F139*0.04</f>
        <v>0</v>
      </c>
    </row>
    <row r="140" spans="1:7" ht="15">
      <c r="A140" s="18"/>
      <c r="B140" s="3"/>
      <c r="C140" s="3" t="s">
        <v>162</v>
      </c>
      <c r="D140" s="3"/>
      <c r="E140" s="90"/>
      <c r="F140" s="19"/>
      <c r="G140" s="52">
        <f>SUM(G141:G144)</f>
        <v>0</v>
      </c>
    </row>
    <row r="141" spans="1:7" ht="25.5">
      <c r="A141" s="8">
        <v>111</v>
      </c>
      <c r="B141" s="9" t="s">
        <v>163</v>
      </c>
      <c r="C141" s="1" t="s">
        <v>164</v>
      </c>
      <c r="D141" s="10" t="s">
        <v>10</v>
      </c>
      <c r="E141" s="91">
        <v>25.4</v>
      </c>
      <c r="G141" s="53">
        <f>E141*F141</f>
        <v>0</v>
      </c>
    </row>
    <row r="142" spans="1:7" ht="15">
      <c r="A142" s="8">
        <v>112</v>
      </c>
      <c r="B142" s="9" t="s">
        <v>165</v>
      </c>
      <c r="C142" s="1" t="s">
        <v>166</v>
      </c>
      <c r="D142" s="10" t="s">
        <v>10</v>
      </c>
      <c r="E142" s="91">
        <f>E141</f>
        <v>25.4</v>
      </c>
      <c r="G142" s="53">
        <f>E142*F142</f>
        <v>0</v>
      </c>
    </row>
    <row r="143" spans="1:7" ht="15">
      <c r="A143" s="8">
        <v>113</v>
      </c>
      <c r="B143" s="9" t="s">
        <v>167</v>
      </c>
      <c r="C143" s="1" t="s">
        <v>168</v>
      </c>
      <c r="D143" s="10" t="s">
        <v>10</v>
      </c>
      <c r="E143" s="91">
        <f>E141</f>
        <v>25.4</v>
      </c>
      <c r="G143" s="53">
        <f>E143*F143</f>
        <v>0</v>
      </c>
    </row>
    <row r="144" spans="1:7" ht="15">
      <c r="A144" s="8">
        <v>114</v>
      </c>
      <c r="B144" s="9" t="s">
        <v>169</v>
      </c>
      <c r="C144" s="1" t="s">
        <v>170</v>
      </c>
      <c r="D144" s="10" t="s">
        <v>10</v>
      </c>
      <c r="E144" s="91">
        <f>E141</f>
        <v>25.4</v>
      </c>
      <c r="G144" s="53">
        <f>E144*F144</f>
        <v>0</v>
      </c>
    </row>
    <row r="145" spans="1:7" ht="15">
      <c r="A145" s="18"/>
      <c r="B145" s="3"/>
      <c r="C145" s="3" t="s">
        <v>171</v>
      </c>
      <c r="D145" s="3"/>
      <c r="E145" s="90"/>
      <c r="F145" s="19"/>
      <c r="G145" s="52">
        <f>SUM(G146)</f>
        <v>0</v>
      </c>
    </row>
    <row r="146" spans="1:7" ht="25.5">
      <c r="A146" s="8">
        <v>115</v>
      </c>
      <c r="B146" s="9" t="s">
        <v>172</v>
      </c>
      <c r="C146" s="1" t="s">
        <v>209</v>
      </c>
      <c r="D146" s="10" t="s">
        <v>10</v>
      </c>
      <c r="E146" s="91">
        <v>1240</v>
      </c>
      <c r="G146" s="53">
        <f>E146*F146</f>
        <v>0</v>
      </c>
    </row>
    <row r="147" spans="1:7" ht="15">
      <c r="A147" s="18"/>
      <c r="B147" s="3"/>
      <c r="C147" s="3" t="s">
        <v>173</v>
      </c>
      <c r="D147" s="3"/>
      <c r="E147" s="90"/>
      <c r="F147" s="19"/>
      <c r="G147" s="52">
        <f>G148</f>
        <v>0</v>
      </c>
    </row>
    <row r="148" spans="1:7" ht="15">
      <c r="A148" s="8">
        <v>116</v>
      </c>
      <c r="B148" s="9" t="s">
        <v>174</v>
      </c>
      <c r="C148" s="1" t="s">
        <v>175</v>
      </c>
      <c r="D148" s="10" t="s">
        <v>61</v>
      </c>
      <c r="E148" s="91">
        <v>1</v>
      </c>
      <c r="F148" s="71"/>
      <c r="G148" s="53">
        <f>E148*F148</f>
        <v>0</v>
      </c>
    </row>
    <row r="149" ht="15">
      <c r="G149" s="53"/>
    </row>
    <row r="150" spans="1:7" ht="15">
      <c r="A150" s="23"/>
      <c r="B150" s="24"/>
      <c r="C150" s="6"/>
      <c r="D150" s="25"/>
      <c r="E150" s="99"/>
      <c r="F150" s="26"/>
      <c r="G150" s="54"/>
    </row>
    <row r="151" spans="1:8" ht="15">
      <c r="A151" s="27" t="s">
        <v>176</v>
      </c>
      <c r="B151" s="28"/>
      <c r="C151" s="29"/>
      <c r="D151" s="30"/>
      <c r="E151" s="100"/>
      <c r="F151" s="31"/>
      <c r="G151" s="32"/>
      <c r="H151" s="33"/>
    </row>
    <row r="152" spans="1:8" ht="15.75">
      <c r="A152" s="34"/>
      <c r="B152" s="35"/>
      <c r="C152" s="36" t="s">
        <v>6</v>
      </c>
      <c r="D152" s="36"/>
      <c r="E152" s="101"/>
      <c r="F152" s="37"/>
      <c r="G152" s="38">
        <f>G5</f>
        <v>0</v>
      </c>
      <c r="H152" s="33"/>
    </row>
    <row r="153" spans="1:8" s="78" customFormat="1" ht="15">
      <c r="A153" s="84"/>
      <c r="B153" s="85"/>
      <c r="C153" s="86" t="s">
        <v>266</v>
      </c>
      <c r="D153" s="39"/>
      <c r="E153" s="102"/>
      <c r="F153" s="40"/>
      <c r="G153" s="41">
        <f>0.21*G152</f>
        <v>0</v>
      </c>
      <c r="H153" s="87"/>
    </row>
    <row r="154" spans="1:8" ht="18">
      <c r="A154" s="42"/>
      <c r="B154" s="43"/>
      <c r="C154" s="44" t="s">
        <v>177</v>
      </c>
      <c r="D154" s="45"/>
      <c r="E154" s="103"/>
      <c r="F154" s="40"/>
      <c r="G154" s="46">
        <f>SUM(G152:G153)</f>
        <v>0</v>
      </c>
      <c r="H154" s="33"/>
    </row>
    <row r="155" spans="1:7" ht="15">
      <c r="A155" s="47"/>
      <c r="B155" s="48"/>
      <c r="C155" s="7"/>
      <c r="D155" s="49"/>
      <c r="E155" s="104"/>
      <c r="F155" s="50"/>
      <c r="G155" s="51"/>
    </row>
  </sheetData>
  <sheetProtection password="CCE7" sheet="1" objects="1" scenarios="1"/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trubiroha</dc:creator>
  <cp:keywords/>
  <dc:description/>
  <cp:lastModifiedBy>trubiroha</cp:lastModifiedBy>
  <cp:lastPrinted>2011-12-01T17:53:36Z</cp:lastPrinted>
  <dcterms:created xsi:type="dcterms:W3CDTF">2009-12-21T10:29:32Z</dcterms:created>
  <dcterms:modified xsi:type="dcterms:W3CDTF">2013-02-26T09:52:55Z</dcterms:modified>
  <cp:category/>
  <cp:version/>
  <cp:contentType/>
  <cp:contentStatus/>
</cp:coreProperties>
</file>