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<sst xmlns="http://schemas.openxmlformats.org/spreadsheetml/2006/main" count="1491" uniqueCount="420">
  <si>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</si>
  <si>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</si>
  <si>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</si>
  <si>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</si>
  <si>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</si>
  <si>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</si>
  <si>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</si>
  <si>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</si>
  <si>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</si>
  <si>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</si>
  <si>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</si>
  <si>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</si>
  <si>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</si>
  <si>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</si>
  <si>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</si>
  <si>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</si>
  <si>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</si>
  <si>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</si>
  <si>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</si>
  <si>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</si>
  <si>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</si>
  <si>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</si>
  <si>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</si>
  <si>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</si>
  <si>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</si>
  <si>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</si>
  <si>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</si>
  <si>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</si>
  <si>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</si>
  <si>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</si>
  <si>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</si>
  <si>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</si>
  <si>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</si>
  <si>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</si>
  <si>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</si>
  <si>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</si>
  <si>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</si>
  <si>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</si>
  <si>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</si>
  <si>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</si>
  <si>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</si>
  <si>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</si>
  <si>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</si>
  <si>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</si>
  <si>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</si>
  <si>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</si>
  <si>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</si>
  <si>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</si>
  <si>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</si>
  <si>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</si>
  <si>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</si>
  <si>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</si>
  <si>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</si>
  <si>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</si>
  <si>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</si>
  <si>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</si>
  <si>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</si>
  <si>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</si>
  <si>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</si>
  <si>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</si>
  <si>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</si>
  <si>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</si>
  <si>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</si>
  <si>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</si>
  <si>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</si>
  <si>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</si>
  <si>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</si>
  <si>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</si>
  <si>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</si>
  <si>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</si>
  <si>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</si>
  <si>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</si>
  <si>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</si>
  <si>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</si>
  <si>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</si>
  <si>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</si>
  <si>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</si>
  <si>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</si>
  <si>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</si>
  <si>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</si>
  <si>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</si>
  <si>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</si>
  <si>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</si>
  <si>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</si>
  <si>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</si>
  <si>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</si>
  <si>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</si>
  <si>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</si>
  <si>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</si>
  <si>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</si>
  <si>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</si>
  <si>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</si>
  <si>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</si>
  <si>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</si>
  <si>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</si>
  <si>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Poznámka:</t>
  </si>
  <si>
    <t>Objekt</t>
  </si>
  <si>
    <t>Kód</t>
  </si>
  <si>
    <t>722</t>
  </si>
  <si>
    <t>722181245RY5</t>
  </si>
  <si>
    <t>722181245RW8</t>
  </si>
  <si>
    <t>722181245RW2</t>
  </si>
  <si>
    <t>722181245RU2</t>
  </si>
  <si>
    <t>722181245RU1</t>
  </si>
  <si>
    <t>733</t>
  </si>
  <si>
    <t>733123110R00</t>
  </si>
  <si>
    <t>733163102R00</t>
  </si>
  <si>
    <t>733163103R00</t>
  </si>
  <si>
    <t>733163104R00</t>
  </si>
  <si>
    <t>733163105R00</t>
  </si>
  <si>
    <t>733163106R00</t>
  </si>
  <si>
    <t>733163107R00</t>
  </si>
  <si>
    <t>733163108R00</t>
  </si>
  <si>
    <t>733163110R00</t>
  </si>
  <si>
    <t>733190217R00</t>
  </si>
  <si>
    <t>733190225R00</t>
  </si>
  <si>
    <t>733191112R00</t>
  </si>
  <si>
    <t>733110806R00</t>
  </si>
  <si>
    <t>733191816R00</t>
  </si>
  <si>
    <t>733890805R00</t>
  </si>
  <si>
    <t>734</t>
  </si>
  <si>
    <t>734221672RT3</t>
  </si>
  <si>
    <t>734226212R00</t>
  </si>
  <si>
    <t>734200821R00</t>
  </si>
  <si>
    <t>734264772R00</t>
  </si>
  <si>
    <t>734266222R00</t>
  </si>
  <si>
    <t>734264773R00</t>
  </si>
  <si>
    <t>734200822R00</t>
  </si>
  <si>
    <t>734200834R00</t>
  </si>
  <si>
    <t>734209102RT2</t>
  </si>
  <si>
    <t>734209113R00</t>
  </si>
  <si>
    <t>551990004VD</t>
  </si>
  <si>
    <t>551990001VD</t>
  </si>
  <si>
    <t>734209114R00</t>
  </si>
  <si>
    <t>551990005VD</t>
  </si>
  <si>
    <t>551990002VD</t>
  </si>
  <si>
    <t>734209115R00</t>
  </si>
  <si>
    <t>551990006VD</t>
  </si>
  <si>
    <t>551990003VD</t>
  </si>
  <si>
    <t>734235132R00</t>
  </si>
  <si>
    <t>734235131R00</t>
  </si>
  <si>
    <t>734235133R00</t>
  </si>
  <si>
    <t>734235134R00</t>
  </si>
  <si>
    <t>734235136R00</t>
  </si>
  <si>
    <t>734235171R00</t>
  </si>
  <si>
    <t>734235172R00</t>
  </si>
  <si>
    <t>734291113R00</t>
  </si>
  <si>
    <t>735</t>
  </si>
  <si>
    <t>735156140R00</t>
  </si>
  <si>
    <t>735156141R00</t>
  </si>
  <si>
    <t>735156144R00</t>
  </si>
  <si>
    <t>735156145R00</t>
  </si>
  <si>
    <t>735156146R00</t>
  </si>
  <si>
    <t>735156157R00</t>
  </si>
  <si>
    <t>735156147R00</t>
  </si>
  <si>
    <t>735156148R00</t>
  </si>
  <si>
    <t>735156149R00</t>
  </si>
  <si>
    <t>735156150R00</t>
  </si>
  <si>
    <t>735156151R00</t>
  </si>
  <si>
    <t>735156185R00</t>
  </si>
  <si>
    <t>735156187R00</t>
  </si>
  <si>
    <t>735156188R00</t>
  </si>
  <si>
    <t>735156242R00</t>
  </si>
  <si>
    <t>735156244R00</t>
  </si>
  <si>
    <t>735156245R00</t>
  </si>
  <si>
    <t>735156257R00</t>
  </si>
  <si>
    <t>735156248R00</t>
  </si>
  <si>
    <t>735156249R00</t>
  </si>
  <si>
    <t>735156284R00</t>
  </si>
  <si>
    <t>735156286R00</t>
  </si>
  <si>
    <t>735156289R00</t>
  </si>
  <si>
    <t>735156546R00</t>
  </si>
  <si>
    <t>735156557R00</t>
  </si>
  <si>
    <t>735156548R00</t>
  </si>
  <si>
    <t>735156586R00</t>
  </si>
  <si>
    <t>735156646R00</t>
  </si>
  <si>
    <t>735156647R00</t>
  </si>
  <si>
    <t>735156787R00</t>
  </si>
  <si>
    <t>735156910R00</t>
  </si>
  <si>
    <t>735156920R00</t>
  </si>
  <si>
    <t>735156930R00</t>
  </si>
  <si>
    <t>735121810R00</t>
  </si>
  <si>
    <t>735890802R00</t>
  </si>
  <si>
    <t>735494811R00</t>
  </si>
  <si>
    <t>90</t>
  </si>
  <si>
    <t>904      R02</t>
  </si>
  <si>
    <t>900      RT3</t>
  </si>
  <si>
    <t>H722</t>
  </si>
  <si>
    <t>998722202R00</t>
  </si>
  <si>
    <t>H733</t>
  </si>
  <si>
    <t>998733203R00</t>
  </si>
  <si>
    <t>H734</t>
  </si>
  <si>
    <t>998734203R00</t>
  </si>
  <si>
    <t>H735</t>
  </si>
  <si>
    <t>998735203R00</t>
  </si>
  <si>
    <t>Rekonstrukce vytápění</t>
  </si>
  <si>
    <t>Středisko volného času Domeček</t>
  </si>
  <si>
    <t>Chomutov</t>
  </si>
  <si>
    <t>Zkrácený popis</t>
  </si>
  <si>
    <t>Rozměry</t>
  </si>
  <si>
    <t>Vnitřní vodovod</t>
  </si>
  <si>
    <t>Izolace návleková MIRELON STABIL tl. stěny 25 mm</t>
  </si>
  <si>
    <t>Rozvod potrubí</t>
  </si>
  <si>
    <t>Příplatek za zhotovení přípojek</t>
  </si>
  <si>
    <t>Potrubí z ocelových lisovaných trubek vytápění D 15 x 1,2 mm</t>
  </si>
  <si>
    <t>Potrubí z  ocelových lisovaných trubek vytápění D 18 x 1,2 mm</t>
  </si>
  <si>
    <t>Potrubí z  ocelových lisovanýchh trubek vytápění D 22 x 1 ,5mm</t>
  </si>
  <si>
    <t>Potrubí z  ocelových lisovanýchh trubek vytápění D 28 x 1,5 mm</t>
  </si>
  <si>
    <t>Potrubí z  ocelových lisovaných trubek vytápění D 35 x 1,5 mm</t>
  </si>
  <si>
    <t>Potrubí z  ocelových lisovaných trubek vytápění D 42 x 1,5 mm</t>
  </si>
  <si>
    <t>Potrubí z  ocelových lisovaných trubek vytápění D 54 x 1,5 mm</t>
  </si>
  <si>
    <t>Potrubí z  ocelových lisovaných trubek vytápění D 76,1 x 2,0 mm</t>
  </si>
  <si>
    <t>Tlaková zkouška ocelového hladkého potrubí D 51</t>
  </si>
  <si>
    <t>Tlaková zkouška ocelového hladkého potrubí D 89</t>
  </si>
  <si>
    <t>Manžety prostupové pro trubky do DN 32</t>
  </si>
  <si>
    <t>Demontáž potrubí ocelového závitového do DN 15-32</t>
  </si>
  <si>
    <t>Odřezání třmenových držáků potrubí do D 44,5</t>
  </si>
  <si>
    <t>Přemístění vybouraných hmot - potrubí, H 36 - 48 m</t>
  </si>
  <si>
    <t>Armatury</t>
  </si>
  <si>
    <t>Hlavice ovládání ventilů termostat.Heimeier hlavice K 6000-00 antivandal</t>
  </si>
  <si>
    <t>Ventil term.přímý,vnitř.z. Heimeier V-exakt DN 15</t>
  </si>
  <si>
    <t>Demontáž armatur se 2závity do G 1/2</t>
  </si>
  <si>
    <t>Šroubení svěrné na měď Herz 15x1 mm - EK</t>
  </si>
  <si>
    <t>Šroubení reg.přímé,vnitř.z. Heimeier Regulux DN 15</t>
  </si>
  <si>
    <t>Šroubení svěrné na měď Herz 22x1 mm - EK</t>
  </si>
  <si>
    <t>Demontáž armatur se 2závity do G 1</t>
  </si>
  <si>
    <t>Demontáž armatur se 3závity do G 2</t>
  </si>
  <si>
    <t>Montáž armatur závitových,s 1závitem, G 3/8</t>
  </si>
  <si>
    <t>Montáž armatur závitových,se 2závity, G 1/2</t>
  </si>
  <si>
    <t>Vyvažovací vewntil R206C 1/2"</t>
  </si>
  <si>
    <t>Vyvažovací ventil R206 B 1/2"</t>
  </si>
  <si>
    <t>Montáž armatur závitových,se 2závity, G 3/4</t>
  </si>
  <si>
    <t>Vyvažovací ventil R206C 3/4"</t>
  </si>
  <si>
    <t>Vyvažovací ventilů R206B 3/4"</t>
  </si>
  <si>
    <t>Montáž armatur závitových,se 2závity, G 1</t>
  </si>
  <si>
    <t>Vyvažovací ventil R206C 1"</t>
  </si>
  <si>
    <t>Vyvžovací ventilů R206B 1"</t>
  </si>
  <si>
    <t>Kohout kulový s vypouštěním,GIACOMINI R250DS DN 20</t>
  </si>
  <si>
    <t>Kohout kulový s vypouštěním,GIACOMINI R250DS DN 15</t>
  </si>
  <si>
    <t>Kohout kulový s vypouštěním,GIACOMINI R250DS DN 25</t>
  </si>
  <si>
    <t>Kohout kulový s vypouštěním,GIACOMINI R250DS DN 32</t>
  </si>
  <si>
    <t>Kohout kulový s vypouštěním,GIACOMINI R250DS DN 50</t>
  </si>
  <si>
    <t>Kohout kulový,svěrné pro měď,GIACOMINI R258CC DN15</t>
  </si>
  <si>
    <t>Kohout kulový,svěrné pro měď,GIACOMINI R258CC DN22</t>
  </si>
  <si>
    <t>Kohouty plnící a vypouštěcí G 1/2</t>
  </si>
  <si>
    <t>Otopná tělesa</t>
  </si>
  <si>
    <t>Otopná tělesa panelová Radik Klasik 10   500/ 400</t>
  </si>
  <si>
    <t>Otopná tělesa panelová Radik Klasik 10   500/ 500</t>
  </si>
  <si>
    <t>Otopná tělesa panelová Radik Klasik 10   500/ 800</t>
  </si>
  <si>
    <t>Otopná tělesa panelová Radik Klasik 10   500/ 900</t>
  </si>
  <si>
    <t>Otopná tělesa panelová Radik Klasik 10   500/1000</t>
  </si>
  <si>
    <t>Otopná tělesa panelová Radik Klasik 10   500/1100</t>
  </si>
  <si>
    <t>Otopná tělesa panelová Radik Klasik 10   500/1200</t>
  </si>
  <si>
    <t>Otopná tělesa panelová Radik Klasik 10   500/1400</t>
  </si>
  <si>
    <t>Otopná tělesa panelová Radik Klasik 10   500/1600</t>
  </si>
  <si>
    <t>Otopná tělesa panelová Radik Klasik 10   500/1800</t>
  </si>
  <si>
    <t>Otopná tělesa panelová Radik Klasik 10   500/2000</t>
  </si>
  <si>
    <t>Otopná tělesa panelová Radik Klasik 10   900/ 900</t>
  </si>
  <si>
    <t>Otopná tělesa panelová Radik Klasik 10   900/1200</t>
  </si>
  <si>
    <t>Otopná tělesa panelová Radik Klasik 10   900/1400</t>
  </si>
  <si>
    <t>Otopná tělesa panelová Radik Klasik 11   500/ 600</t>
  </si>
  <si>
    <t>Otopná tělesa panelová Radik Klasik 11   500/ 800</t>
  </si>
  <si>
    <t>Otopná tělesa panelová Radik Klasik 11   500/ 900</t>
  </si>
  <si>
    <t>Otopná tělesa panelová Radik Klasik 11   500/1100</t>
  </si>
  <si>
    <t>Otopná tělesa panelová Radik Klasik 11   500/1400</t>
  </si>
  <si>
    <t>Otopná tělesa panelová Radik Klasik 11   500/1600</t>
  </si>
  <si>
    <t>Otopná tělesa panelová Radik Klasik 11   900/ 800</t>
  </si>
  <si>
    <t>Otopná tělesa panelová Radik Klasik 11   900/1000</t>
  </si>
  <si>
    <t>Otopná tělesa panelová Radik Klasik 11   900/1600</t>
  </si>
  <si>
    <t>Otopná tělesa panelová Radik Klasik 21  500/1000</t>
  </si>
  <si>
    <t>Otopná tělesa panelová Radik Klasik 21  500/1100</t>
  </si>
  <si>
    <t>Otopná tělesa panelová Radik Klasik 21  500/1400</t>
  </si>
  <si>
    <t>Otopná tělesa panelová Radik Klasik 21  900/1000</t>
  </si>
  <si>
    <t>Otopná tělesa panelová Radik Klasik 22  500/1000</t>
  </si>
  <si>
    <t>Otopná tělesa panelová Radik Klasik 22  500/1200</t>
  </si>
  <si>
    <t>Otopná tělesa panelová Radik Klasik 33  900/1200</t>
  </si>
  <si>
    <t>Tlakové zkoušky otopných těles Radik 10-11</t>
  </si>
  <si>
    <t>Tlakové zkoušky otopných těles Radik 20-22</t>
  </si>
  <si>
    <t>Tlakové zkoušky otopných těles Radik 33</t>
  </si>
  <si>
    <t>Demontáž otopných těles ocelových článkových</t>
  </si>
  <si>
    <t>Přemístění demont. hmot - otop. těles, H 6 - 12 m</t>
  </si>
  <si>
    <t>Vypuštění vody z otopných těles</t>
  </si>
  <si>
    <t>Hodinové zúčtovací sazby (HZS)</t>
  </si>
  <si>
    <t>Hzs-zkousky v ramci montaz.praci</t>
  </si>
  <si>
    <t>HZS - průrazy, zednické výpomoci</t>
  </si>
  <si>
    <t>Přesun hmot pro vnitřní vodovod, výšky do 12 m</t>
  </si>
  <si>
    <t>Přesun hmot pro rozvody potrubí, výšky do 24 m</t>
  </si>
  <si>
    <t>Přesun hmot pro armatury, výšky do 24 m</t>
  </si>
  <si>
    <t>Přesun hmot pro otopná tělesa, výšky do 24 m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</si>
  <si>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</si>
  <si>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</si>
  <si>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</si>
  <si>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</si>
  <si>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</si>
  <si>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</si>
  <si>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</si>
  <si>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t</t>
  </si>
  <si>
    <t>ks</t>
  </si>
  <si>
    <t>m2</t>
  </si>
  <si>
    <t>h</t>
  </si>
  <si>
    <t>%</t>
  </si>
  <si>
    <t>Množství</t>
  </si>
  <si>
    <t>62 dní</t>
  </si>
  <si>
    <t>01.07.2018</t>
  </si>
  <si>
    <t>31.08.2018</t>
  </si>
  <si>
    <t>10.06.2018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</si>
  <si>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</si>
  <si>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</si>
  <si>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</si>
  <si>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</si>
  <si>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</si>
  <si>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</si>
  <si>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</si>
  <si>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</si>
  <si>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</si>
  <si>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</si>
  <si>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Chomutov</t>
  </si>
  <si>
    <t>INTER ART PROJEKT s.r.o.</t>
  </si>
  <si>
    <t>výběrové řízení</t>
  </si>
  <si>
    <t>Šefl</t>
  </si>
  <si>
    <t>Celkem</t>
  </si>
  <si>
    <t>Hmotnost (t)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</si>
  <si>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</si>
  <si>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</si>
  <si>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</si>
  <si>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</si>
  <si>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</si>
  <si>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</si>
  <si>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</si>
  <si>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</si>
  <si>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</si>
  <si>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</si>
  <si>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</si>
  <si>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</si>
  <si>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722_</t>
  </si>
  <si>
    <t>733_</t>
  </si>
  <si>
    <t>734_</t>
  </si>
  <si>
    <t>735_</t>
  </si>
  <si>
    <t>90_</t>
  </si>
  <si>
    <t>H722_</t>
  </si>
  <si>
    <t>H733_</t>
  </si>
  <si>
    <t>H734_</t>
  </si>
  <si>
    <t>H735_</t>
  </si>
  <si>
    <t>72_</t>
  </si>
  <si>
    <t>73_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</si>
  <si>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</si>
  <si>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</si>
  <si>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</si>
  <si>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</si>
  <si>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</si>
  <si>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</si>
  <si>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</si>
  <si>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</si>
  <si>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</si>
  <si>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140</t>
  </si>
  <si>
    <t>925</t>
  </si>
  <si>
    <t>402</t>
  </si>
  <si>
    <t>342</t>
  </si>
  <si>
    <t>189</t>
  </si>
  <si>
    <t>925+402+189+17+39+128</t>
  </si>
  <si>
    <t>40*14+80+110</t>
  </si>
  <si>
    <t>750/1,5</t>
  </si>
  <si>
    <t>2,415+0,07</t>
  </si>
  <si>
    <t>330</t>
  </si>
  <si>
    <t>1+4+2+3+10+5+20+40+14+7+5+1+7+2+1+2+4+6+4+1+1+1+15</t>
  </si>
  <si>
    <t>1+1+1+1+2+2</t>
  </si>
  <si>
    <t>250000/120*0,24</t>
  </si>
  <si>
    <t>500</t>
  </si>
  <si>
    <t>100</t>
  </si>
  <si>
    <t>74798,76/100</t>
  </si>
  <si>
    <t>(1002232,08-17775-1055-3195,71)/100</t>
  </si>
  <si>
    <t>(466222,94)/100</t>
  </si>
  <si>
    <t>474663,35/100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</si>
  <si>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</si>
  <si>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</si>
  <si>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</si>
  <si>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</si>
  <si>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</si>
  <si>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</si>
  <si>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</si>
  <si>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</si>
  <si>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</si>
  <si>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</si>
  <si>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</si>
  <si>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</si>
  <si>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</si>
  <si>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</si>
  <si>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</si>
  <si>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</si>
  <si>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</si>
  <si>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</si>
  <si>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</si>
  <si>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</si>
  <si>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</si>
  <si>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</si>
  <si>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</si>
  <si>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</si>
  <si>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</si>
  <si>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</si>
  <si>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</si>
  <si>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</si>
  <si>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</si>
  <si>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</si>
  <si>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</si>
  <si>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</si>
  <si>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</si>
  <si>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</si>
  <si>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</si>
  <si>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</si>
  <si>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</si>
  <si>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</si>
  <si>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</si>
  <si>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</si>
  <si>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</si>
  <si>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</si>
  <si>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</si>
  <si>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</si>
  <si>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</si>
  <si>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00261891/CZ00261891</t>
  </si>
  <si>
    <t>40233499/CZ40233499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</si>
</sst>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1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1" fillId="34" borderId="37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1"/>
  <sheetViews>
    <sheetView tabSelected="1" zoomScalePageLayoutView="0" workbookViewId="0" topLeftCell="A1">
      <pane ySplit="11" topLeftCell="A114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9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>
      <c r="A2" s="72" t="s">
        <v>1</v>
      </c>
      <c r="B2" s="73"/>
      <c r="C2" s="73"/>
      <c r="D2" s="76" t="s">
        <v>195</v>
      </c>
      <c r="E2" s="78" t="s">
        <v>289</v>
      </c>
      <c r="F2" s="73"/>
      <c r="G2" s="78" t="s">
        <v>302</v>
      </c>
      <c r="H2" s="73"/>
      <c r="I2" s="79" t="s">
        <v>311</v>
      </c>
      <c r="J2" s="79" t="s">
        <v>316</v>
      </c>
      <c r="K2" s="73"/>
      <c r="L2" s="73"/>
      <c r="M2" s="80"/>
      <c r="N2" s="32"/>
    </row>
    <row r="3" spans="1:14" ht="12.75">
      <c r="A3" s="74"/>
      <c r="B3" s="75"/>
      <c r="C3" s="75"/>
      <c r="D3" s="77"/>
      <c r="E3" s="75"/>
      <c r="F3" s="75"/>
      <c r="G3" s="75"/>
      <c r="H3" s="75"/>
      <c r="I3" s="75"/>
      <c r="J3" s="75"/>
      <c r="K3" s="75"/>
      <c r="L3" s="75"/>
      <c r="M3" s="81"/>
      <c r="N3" s="32"/>
    </row>
    <row r="4" spans="1:14" ht="12.75">
      <c r="A4" s="82" t="s">
        <v>2</v>
      </c>
      <c r="B4" s="75"/>
      <c r="C4" s="75"/>
      <c r="D4" s="83" t="s">
        <v>196</v>
      </c>
      <c r="E4" s="84" t="s">
        <v>290</v>
      </c>
      <c r="F4" s="75"/>
      <c r="G4" s="84" t="s">
        <v>303</v>
      </c>
      <c r="H4" s="75"/>
      <c r="I4" s="83" t="s">
        <v>312</v>
      </c>
      <c r="J4" s="83" t="s">
        <v>317</v>
      </c>
      <c r="K4" s="75"/>
      <c r="L4" s="75"/>
      <c r="M4" s="81"/>
      <c r="N4" s="32"/>
    </row>
    <row r="5" spans="1:14" ht="12.7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81"/>
      <c r="N5" s="32"/>
    </row>
    <row r="6" spans="1:14" ht="12.75">
      <c r="A6" s="82" t="s">
        <v>3</v>
      </c>
      <c r="B6" s="75"/>
      <c r="C6" s="75"/>
      <c r="D6" s="83" t="s">
        <v>197</v>
      </c>
      <c r="E6" s="84" t="s">
        <v>291</v>
      </c>
      <c r="F6" s="75"/>
      <c r="G6" s="84" t="s">
        <v>304</v>
      </c>
      <c r="H6" s="75"/>
      <c r="I6" s="83" t="s">
        <v>313</v>
      </c>
      <c r="J6" s="83" t="s">
        <v>318</v>
      </c>
      <c r="K6" s="75"/>
      <c r="L6" s="75"/>
      <c r="M6" s="81"/>
      <c r="N6" s="32"/>
    </row>
    <row r="7" spans="1:1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81"/>
      <c r="N7" s="32"/>
    </row>
    <row r="8" spans="1:14" ht="12.75">
      <c r="A8" s="82" t="s">
        <v>4</v>
      </c>
      <c r="B8" s="75"/>
      <c r="C8" s="75"/>
      <c r="D8" s="83" t="s">
        <v>6</v>
      </c>
      <c r="E8" s="84" t="s">
        <v>292</v>
      </c>
      <c r="F8" s="75"/>
      <c r="G8" s="84" t="s">
        <v>305</v>
      </c>
      <c r="H8" s="75"/>
      <c r="I8" s="83" t="s">
        <v>314</v>
      </c>
      <c r="J8" s="83" t="s">
        <v>319</v>
      </c>
      <c r="K8" s="75"/>
      <c r="L8" s="75"/>
      <c r="M8" s="81"/>
      <c r="N8" s="32"/>
    </row>
    <row r="9" spans="1:14" ht="12.7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32"/>
    </row>
    <row r="10" spans="1:14" ht="12.75">
      <c r="A10" s="1" t="s">
        <v>5</v>
      </c>
      <c r="B10" s="10" t="s">
        <v>96</v>
      </c>
      <c r="C10" s="10" t="s">
        <v>97</v>
      </c>
      <c r="D10" s="10" t="s">
        <v>198</v>
      </c>
      <c r="E10" s="10" t="s">
        <v>293</v>
      </c>
      <c r="F10" s="16" t="s">
        <v>301</v>
      </c>
      <c r="G10" s="20" t="s">
        <v>306</v>
      </c>
      <c r="H10" s="88" t="s">
        <v>308</v>
      </c>
      <c r="I10" s="89"/>
      <c r="J10" s="90"/>
      <c r="K10" s="88" t="s">
        <v>321</v>
      </c>
      <c r="L10" s="90"/>
      <c r="M10" s="27" t="s">
        <v>322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199</v>
      </c>
      <c r="E11" s="11" t="s">
        <v>6</v>
      </c>
      <c r="F11" s="11" t="s">
        <v>6</v>
      </c>
      <c r="G11" s="21" t="s">
        <v>307</v>
      </c>
      <c r="H11" s="22" t="s">
        <v>309</v>
      </c>
      <c r="I11" s="23" t="s">
        <v>315</v>
      </c>
      <c r="J11" s="24" t="s">
        <v>320</v>
      </c>
      <c r="K11" s="22" t="s">
        <v>306</v>
      </c>
      <c r="L11" s="24" t="s">
        <v>320</v>
      </c>
      <c r="M11" s="28" t="s">
        <v>323</v>
      </c>
      <c r="N11" s="33"/>
      <c r="P11" s="26" t="s">
        <v>325</v>
      </c>
      <c r="Q11" s="26" t="s">
        <v>326</v>
      </c>
      <c r="R11" s="26" t="s">
        <v>327</v>
      </c>
      <c r="S11" s="26" t="s">
        <v>328</v>
      </c>
      <c r="T11" s="26" t="s">
        <v>329</v>
      </c>
      <c r="U11" s="26" t="s">
        <v>330</v>
      </c>
      <c r="V11" s="26" t="s">
        <v>331</v>
      </c>
      <c r="W11" s="26" t="s">
        <v>332</v>
      </c>
      <c r="X11" s="26" t="s">
        <v>333</v>
      </c>
    </row>
    <row r="12" spans="1:37" ht="12.75">
      <c r="A12" s="3"/>
      <c r="B12" s="12"/>
      <c r="C12" s="12" t="s">
        <v>98</v>
      </c>
      <c r="D12" s="12" t="s">
        <v>200</v>
      </c>
      <c r="E12" s="3" t="s">
        <v>6</v>
      </c>
      <c r="F12" s="3" t="s">
        <v>6</v>
      </c>
      <c r="G12" s="3" t="s">
        <v>6</v>
      </c>
      <c r="H12" s="36">
        <f>SUM(H13:H17)</f>
        <v>0</v>
      </c>
      <c r="I12" s="36">
        <f>SUM(I13:I17)</f>
        <v>0</v>
      </c>
      <c r="J12" s="36">
        <f>H12+I12</f>
        <v>0</v>
      </c>
      <c r="K12" s="25"/>
      <c r="L12" s="36">
        <f>SUM(L13:L17)</f>
        <v>0.04567</v>
      </c>
      <c r="M12" s="25"/>
      <c r="Y12" s="26"/>
      <c r="AI12" s="37">
        <f>SUM(Z13:Z17)</f>
        <v>0</v>
      </c>
      <c r="AJ12" s="37">
        <f>SUM(AA13:AA17)</f>
        <v>0</v>
      </c>
      <c r="AK12" s="37">
        <f>SUM(AB13:AB17)</f>
        <v>0</v>
      </c>
    </row>
    <row r="13" spans="1:48" ht="12.75">
      <c r="A13" s="4" t="s">
        <v>7</v>
      </c>
      <c r="B13" s="4"/>
      <c r="C13" s="4" t="s">
        <v>99</v>
      </c>
      <c r="D13" s="4" t="s">
        <v>201</v>
      </c>
      <c r="E13" s="4" t="s">
        <v>294</v>
      </c>
      <c r="F13" s="17">
        <v>6</v>
      </c>
      <c r="G13" s="17">
        <v>0</v>
      </c>
      <c r="H13" s="17">
        <f>F13*AE13</f>
        <v>0</v>
      </c>
      <c r="I13" s="17">
        <f>J13-H13</f>
        <v>0</v>
      </c>
      <c r="J13" s="17">
        <f>F13*G13</f>
        <v>0</v>
      </c>
      <c r="K13" s="17">
        <v>0.00025</v>
      </c>
      <c r="L13" s="17">
        <f>F13*K13</f>
        <v>0.0015</v>
      </c>
      <c r="M13" s="29" t="s">
        <v>324</v>
      </c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21</v>
      </c>
      <c r="AE13" s="34">
        <f>G13*0.820738374316633</f>
        <v>0</v>
      </c>
      <c r="AF13" s="34">
        <f>G13*(1-0.820738374316633)</f>
        <v>0</v>
      </c>
      <c r="AG13" s="29" t="s">
        <v>13</v>
      </c>
      <c r="AM13" s="34">
        <f>F13*AE13</f>
        <v>0</v>
      </c>
      <c r="AN13" s="34">
        <f>F13*AF13</f>
        <v>0</v>
      </c>
      <c r="AO13" s="35" t="s">
        <v>334</v>
      </c>
      <c r="AP13" s="35" t="s">
        <v>343</v>
      </c>
      <c r="AQ13" s="26" t="s">
        <v>346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0.0015</v>
      </c>
    </row>
    <row r="14" spans="1:48" ht="12.75">
      <c r="A14" s="4" t="s">
        <v>8</v>
      </c>
      <c r="B14" s="4"/>
      <c r="C14" s="4" t="s">
        <v>100</v>
      </c>
      <c r="D14" s="4" t="s">
        <v>201</v>
      </c>
      <c r="E14" s="4" t="s">
        <v>294</v>
      </c>
      <c r="F14" s="17">
        <v>128</v>
      </c>
      <c r="G14" s="17">
        <v>0</v>
      </c>
      <c r="H14" s="17">
        <f>F14*AE14</f>
        <v>0</v>
      </c>
      <c r="I14" s="17">
        <f>J14-H14</f>
        <v>0</v>
      </c>
      <c r="J14" s="17">
        <f>F14*G14</f>
        <v>0</v>
      </c>
      <c r="K14" s="17">
        <v>0.0002</v>
      </c>
      <c r="L14" s="17">
        <f>F14*K14</f>
        <v>0.0256</v>
      </c>
      <c r="M14" s="29" t="s">
        <v>324</v>
      </c>
      <c r="P14" s="34">
        <f>IF(AG14="5",J14,0)</f>
        <v>0</v>
      </c>
      <c r="R14" s="34">
        <f>IF(AG14="1",H14,0)</f>
        <v>0</v>
      </c>
      <c r="S14" s="34">
        <f>IF(AG14="1",I14,0)</f>
        <v>0</v>
      </c>
      <c r="T14" s="34">
        <f>IF(AG14="7",H14,0)</f>
        <v>0</v>
      </c>
      <c r="U14" s="34">
        <f>IF(AG14="7",I14,0)</f>
        <v>0</v>
      </c>
      <c r="V14" s="34">
        <f>IF(AG14="2",H14,0)</f>
        <v>0</v>
      </c>
      <c r="W14" s="34">
        <f>IF(AG14="2",I14,0)</f>
        <v>0</v>
      </c>
      <c r="X14" s="34">
        <f>IF(AG14="0",J14,0)</f>
        <v>0</v>
      </c>
      <c r="Y14" s="26"/>
      <c r="Z14" s="17">
        <f>IF(AD14=0,J14,0)</f>
        <v>0</v>
      </c>
      <c r="AA14" s="17">
        <f>IF(AD14=15,J14,0)</f>
        <v>0</v>
      </c>
      <c r="AB14" s="17">
        <f>IF(AD14=21,J14,0)</f>
        <v>0</v>
      </c>
      <c r="AD14" s="34">
        <v>21</v>
      </c>
      <c r="AE14" s="34">
        <f>G14*0.754229390681004</f>
        <v>0</v>
      </c>
      <c r="AF14" s="34">
        <f>G14*(1-0.754229390681004)</f>
        <v>0</v>
      </c>
      <c r="AG14" s="29" t="s">
        <v>13</v>
      </c>
      <c r="AM14" s="34">
        <f>F14*AE14</f>
        <v>0</v>
      </c>
      <c r="AN14" s="34">
        <f>F14*AF14</f>
        <v>0</v>
      </c>
      <c r="AO14" s="35" t="s">
        <v>334</v>
      </c>
      <c r="AP14" s="35" t="s">
        <v>343</v>
      </c>
      <c r="AQ14" s="26" t="s">
        <v>346</v>
      </c>
      <c r="AS14" s="34">
        <f>AM14+AN14</f>
        <v>0</v>
      </c>
      <c r="AT14" s="34">
        <f>G14/(100-AU14)*100</f>
        <v>0</v>
      </c>
      <c r="AU14" s="34">
        <v>0</v>
      </c>
      <c r="AV14" s="34">
        <f>L14</f>
        <v>0.0256</v>
      </c>
    </row>
    <row r="15" spans="1:48" ht="12.75">
      <c r="A15" s="4" t="s">
        <v>9</v>
      </c>
      <c r="B15" s="4"/>
      <c r="C15" s="4" t="s">
        <v>101</v>
      </c>
      <c r="D15" s="4" t="s">
        <v>201</v>
      </c>
      <c r="E15" s="4" t="s">
        <v>294</v>
      </c>
      <c r="F15" s="17">
        <v>39</v>
      </c>
      <c r="G15" s="17">
        <v>0</v>
      </c>
      <c r="H15" s="17">
        <f>F15*AE15</f>
        <v>0</v>
      </c>
      <c r="I15" s="17">
        <f>J15-H15</f>
        <v>0</v>
      </c>
      <c r="J15" s="17">
        <f>F15*G15</f>
        <v>0</v>
      </c>
      <c r="K15" s="17">
        <v>0.00019</v>
      </c>
      <c r="L15" s="17">
        <f>F15*K15</f>
        <v>0.007410000000000001</v>
      </c>
      <c r="M15" s="29" t="s">
        <v>324</v>
      </c>
      <c r="P15" s="34">
        <f>IF(AG15="5",J15,0)</f>
        <v>0</v>
      </c>
      <c r="R15" s="34">
        <f>IF(AG15="1",H15,0)</f>
        <v>0</v>
      </c>
      <c r="S15" s="34">
        <f>IF(AG15="1",I15,0)</f>
        <v>0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4">
        <v>21</v>
      </c>
      <c r="AE15" s="34">
        <f>G15*0.714899778290575</f>
        <v>0</v>
      </c>
      <c r="AF15" s="34">
        <f>G15*(1-0.714899778290575)</f>
        <v>0</v>
      </c>
      <c r="AG15" s="29" t="s">
        <v>13</v>
      </c>
      <c r="AM15" s="34">
        <f>F15*AE15</f>
        <v>0</v>
      </c>
      <c r="AN15" s="34">
        <f>F15*AF15</f>
        <v>0</v>
      </c>
      <c r="AO15" s="35" t="s">
        <v>334</v>
      </c>
      <c r="AP15" s="35" t="s">
        <v>343</v>
      </c>
      <c r="AQ15" s="26" t="s">
        <v>346</v>
      </c>
      <c r="AS15" s="34">
        <f>AM15+AN15</f>
        <v>0</v>
      </c>
      <c r="AT15" s="34">
        <f>G15/(100-AU15)*100</f>
        <v>0</v>
      </c>
      <c r="AU15" s="34">
        <v>0</v>
      </c>
      <c r="AV15" s="34">
        <f>L15</f>
        <v>0.007410000000000001</v>
      </c>
    </row>
    <row r="16" spans="1:48" ht="12.75">
      <c r="A16" s="4" t="s">
        <v>10</v>
      </c>
      <c r="B16" s="4"/>
      <c r="C16" s="4" t="s">
        <v>102</v>
      </c>
      <c r="D16" s="4" t="s">
        <v>201</v>
      </c>
      <c r="E16" s="4" t="s">
        <v>294</v>
      </c>
      <c r="F16" s="17">
        <v>17</v>
      </c>
      <c r="G16" s="17">
        <v>0</v>
      </c>
      <c r="H16" s="17">
        <f>F16*AE16</f>
        <v>0</v>
      </c>
      <c r="I16" s="17">
        <f>J16-H16</f>
        <v>0</v>
      </c>
      <c r="J16" s="17">
        <f>F16*G16</f>
        <v>0</v>
      </c>
      <c r="K16" s="17">
        <v>8E-05</v>
      </c>
      <c r="L16" s="17">
        <f>F16*K16</f>
        <v>0.00136</v>
      </c>
      <c r="M16" s="29" t="s">
        <v>324</v>
      </c>
      <c r="P16" s="34">
        <f>IF(AG16="5",J16,0)</f>
        <v>0</v>
      </c>
      <c r="R16" s="34">
        <f>IF(AG16="1",H16,0)</f>
        <v>0</v>
      </c>
      <c r="S16" s="34">
        <f>IF(AG16="1",I16,0)</f>
        <v>0</v>
      </c>
      <c r="T16" s="34">
        <f>IF(AG16="7",H16,0)</f>
        <v>0</v>
      </c>
      <c r="U16" s="34">
        <f>IF(AG16="7",I16,0)</f>
        <v>0</v>
      </c>
      <c r="V16" s="34">
        <f>IF(AG16="2",H16,0)</f>
        <v>0</v>
      </c>
      <c r="W16" s="34">
        <f>IF(AG16="2",I16,0)</f>
        <v>0</v>
      </c>
      <c r="X16" s="34">
        <f>IF(AG16="0",J16,0)</f>
        <v>0</v>
      </c>
      <c r="Y16" s="26"/>
      <c r="Z16" s="17">
        <f>IF(AD16=0,J16,0)</f>
        <v>0</v>
      </c>
      <c r="AA16" s="17">
        <f>IF(AD16=15,J16,0)</f>
        <v>0</v>
      </c>
      <c r="AB16" s="17">
        <f>IF(AD16=21,J16,0)</f>
        <v>0</v>
      </c>
      <c r="AD16" s="34">
        <v>21</v>
      </c>
      <c r="AE16" s="34">
        <f>G16*0.717135329856444</f>
        <v>0</v>
      </c>
      <c r="AF16" s="34">
        <f>G16*(1-0.717135329856444)</f>
        <v>0</v>
      </c>
      <c r="AG16" s="29" t="s">
        <v>13</v>
      </c>
      <c r="AM16" s="34">
        <f>F16*AE16</f>
        <v>0</v>
      </c>
      <c r="AN16" s="34">
        <f>F16*AF16</f>
        <v>0</v>
      </c>
      <c r="AO16" s="35" t="s">
        <v>334</v>
      </c>
      <c r="AP16" s="35" t="s">
        <v>343</v>
      </c>
      <c r="AQ16" s="26" t="s">
        <v>346</v>
      </c>
      <c r="AS16" s="34">
        <f>AM16+AN16</f>
        <v>0</v>
      </c>
      <c r="AT16" s="34">
        <f>G16/(100-AU16)*100</f>
        <v>0</v>
      </c>
      <c r="AU16" s="34">
        <v>0</v>
      </c>
      <c r="AV16" s="34">
        <f>L16</f>
        <v>0.00136</v>
      </c>
    </row>
    <row r="17" spans="1:48" ht="12.75">
      <c r="A17" s="4" t="s">
        <v>11</v>
      </c>
      <c r="B17" s="4"/>
      <c r="C17" s="4" t="s">
        <v>103</v>
      </c>
      <c r="D17" s="4" t="s">
        <v>201</v>
      </c>
      <c r="E17" s="4" t="s">
        <v>294</v>
      </c>
      <c r="F17" s="17">
        <v>140</v>
      </c>
      <c r="G17" s="17">
        <v>0</v>
      </c>
      <c r="H17" s="17">
        <f>F17*AE17</f>
        <v>0</v>
      </c>
      <c r="I17" s="17">
        <f>J17-H17</f>
        <v>0</v>
      </c>
      <c r="J17" s="17">
        <f>F17*G17</f>
        <v>0</v>
      </c>
      <c r="K17" s="17">
        <v>7E-05</v>
      </c>
      <c r="L17" s="17">
        <f>F17*K17</f>
        <v>0.0098</v>
      </c>
      <c r="M17" s="29" t="s">
        <v>324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4">
        <v>21</v>
      </c>
      <c r="AE17" s="34">
        <f>G17*0.701062560372749</f>
        <v>0</v>
      </c>
      <c r="AF17" s="34">
        <f>G17*(1-0.701062560372749)</f>
        <v>0</v>
      </c>
      <c r="AG17" s="29" t="s">
        <v>13</v>
      </c>
      <c r="AM17" s="34">
        <f>F17*AE17</f>
        <v>0</v>
      </c>
      <c r="AN17" s="34">
        <f>F17*AF17</f>
        <v>0</v>
      </c>
      <c r="AO17" s="35" t="s">
        <v>334</v>
      </c>
      <c r="AP17" s="35" t="s">
        <v>343</v>
      </c>
      <c r="AQ17" s="26" t="s">
        <v>346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0.0098</v>
      </c>
    </row>
    <row r="18" spans="1:37" ht="12.75">
      <c r="A18" s="5"/>
      <c r="B18" s="13"/>
      <c r="C18" s="13" t="s">
        <v>104</v>
      </c>
      <c r="D18" s="13" t="s">
        <v>202</v>
      </c>
      <c r="E18" s="5" t="s">
        <v>6</v>
      </c>
      <c r="F18" s="5" t="s">
        <v>6</v>
      </c>
      <c r="G18" s="5" t="s">
        <v>6</v>
      </c>
      <c r="H18" s="37">
        <f>SUM(H19:H33)</f>
        <v>0</v>
      </c>
      <c r="I18" s="37">
        <f>SUM(I19:I33)</f>
        <v>0</v>
      </c>
      <c r="J18" s="37">
        <f>H18+I18</f>
        <v>0</v>
      </c>
      <c r="K18" s="26"/>
      <c r="L18" s="37">
        <f>SUM(L19:L33)</f>
        <v>4.856330000000001</v>
      </c>
      <c r="M18" s="26"/>
      <c r="Y18" s="26"/>
      <c r="AI18" s="37">
        <f>SUM(Z19:Z33)</f>
        <v>0</v>
      </c>
      <c r="AJ18" s="37">
        <f>SUM(AA19:AA33)</f>
        <v>0</v>
      </c>
      <c r="AK18" s="37">
        <f>SUM(AB19:AB33)</f>
        <v>0</v>
      </c>
    </row>
    <row r="19" spans="1:48" ht="12.75">
      <c r="A19" s="4" t="s">
        <v>12</v>
      </c>
      <c r="B19" s="4"/>
      <c r="C19" s="4" t="s">
        <v>105</v>
      </c>
      <c r="D19" s="4" t="s">
        <v>203</v>
      </c>
      <c r="E19" s="4" t="s">
        <v>295</v>
      </c>
      <c r="F19" s="17">
        <v>330</v>
      </c>
      <c r="G19" s="17">
        <v>0</v>
      </c>
      <c r="H19" s="17">
        <f aca="true" t="shared" si="0" ref="H19:H33">F19*AE19</f>
        <v>0</v>
      </c>
      <c r="I19" s="17">
        <f aca="true" t="shared" si="1" ref="I19:I33">J19-H19</f>
        <v>0</v>
      </c>
      <c r="J19" s="17">
        <f aca="true" t="shared" si="2" ref="J19:J33">F19*G19</f>
        <v>0</v>
      </c>
      <c r="K19" s="17">
        <v>0</v>
      </c>
      <c r="L19" s="17">
        <f aca="true" t="shared" si="3" ref="L19:L33">F19*K19</f>
        <v>0</v>
      </c>
      <c r="M19" s="29" t="s">
        <v>324</v>
      </c>
      <c r="P19" s="34">
        <f aca="true" t="shared" si="4" ref="P19:P33">IF(AG19="5",J19,0)</f>
        <v>0</v>
      </c>
      <c r="R19" s="34">
        <f aca="true" t="shared" si="5" ref="R19:R33">IF(AG19="1",H19,0)</f>
        <v>0</v>
      </c>
      <c r="S19" s="34">
        <f aca="true" t="shared" si="6" ref="S19:S33">IF(AG19="1",I19,0)</f>
        <v>0</v>
      </c>
      <c r="T19" s="34">
        <f aca="true" t="shared" si="7" ref="T19:T33">IF(AG19="7",H19,0)</f>
        <v>0</v>
      </c>
      <c r="U19" s="34">
        <f aca="true" t="shared" si="8" ref="U19:U33">IF(AG19="7",I19,0)</f>
        <v>0</v>
      </c>
      <c r="V19" s="34">
        <f aca="true" t="shared" si="9" ref="V19:V33">IF(AG19="2",H19,0)</f>
        <v>0</v>
      </c>
      <c r="W19" s="34">
        <f aca="true" t="shared" si="10" ref="W19:W33">IF(AG19="2",I19,0)</f>
        <v>0</v>
      </c>
      <c r="X19" s="34">
        <f aca="true" t="shared" si="11" ref="X19:X33">IF(AG19="0",J19,0)</f>
        <v>0</v>
      </c>
      <c r="Y19" s="26"/>
      <c r="Z19" s="17">
        <f aca="true" t="shared" si="12" ref="Z19:Z33">IF(AD19=0,J19,0)</f>
        <v>0</v>
      </c>
      <c r="AA19" s="17">
        <f aca="true" t="shared" si="13" ref="AA19:AA33">IF(AD19=15,J19,0)</f>
        <v>0</v>
      </c>
      <c r="AB19" s="17">
        <f aca="true" t="shared" si="14" ref="AB19:AB33">IF(AD19=21,J19,0)</f>
        <v>0</v>
      </c>
      <c r="AD19" s="34">
        <v>21</v>
      </c>
      <c r="AE19" s="34">
        <f>G19*0</f>
        <v>0</v>
      </c>
      <c r="AF19" s="34">
        <f>G19*(1-0)</f>
        <v>0</v>
      </c>
      <c r="AG19" s="29" t="s">
        <v>13</v>
      </c>
      <c r="AM19" s="34">
        <f aca="true" t="shared" si="15" ref="AM19:AM33">F19*AE19</f>
        <v>0</v>
      </c>
      <c r="AN19" s="34">
        <f aca="true" t="shared" si="16" ref="AN19:AN33">F19*AF19</f>
        <v>0</v>
      </c>
      <c r="AO19" s="35" t="s">
        <v>335</v>
      </c>
      <c r="AP19" s="35" t="s">
        <v>344</v>
      </c>
      <c r="AQ19" s="26" t="s">
        <v>346</v>
      </c>
      <c r="AS19" s="34">
        <f aca="true" t="shared" si="17" ref="AS19:AS33">AM19+AN19</f>
        <v>0</v>
      </c>
      <c r="AT19" s="34">
        <f aca="true" t="shared" si="18" ref="AT19:AT33">G19/(100-AU19)*100</f>
        <v>0</v>
      </c>
      <c r="AU19" s="34">
        <v>0</v>
      </c>
      <c r="AV19" s="34">
        <f aca="true" t="shared" si="19" ref="AV19:AV33">L19</f>
        <v>0</v>
      </c>
    </row>
    <row r="20" spans="1:48" ht="12.75">
      <c r="A20" s="4" t="s">
        <v>13</v>
      </c>
      <c r="B20" s="4"/>
      <c r="C20" s="4" t="s">
        <v>106</v>
      </c>
      <c r="D20" s="4" t="s">
        <v>204</v>
      </c>
      <c r="E20" s="4" t="s">
        <v>294</v>
      </c>
      <c r="F20" s="17">
        <v>925</v>
      </c>
      <c r="G20" s="17">
        <v>0</v>
      </c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0.00076</v>
      </c>
      <c r="L20" s="17">
        <f t="shared" si="3"/>
        <v>0.7030000000000001</v>
      </c>
      <c r="M20" s="29" t="s">
        <v>324</v>
      </c>
      <c r="P20" s="34">
        <f t="shared" si="4"/>
        <v>0</v>
      </c>
      <c r="R20" s="34">
        <f t="shared" si="5"/>
        <v>0</v>
      </c>
      <c r="S20" s="34">
        <f t="shared" si="6"/>
        <v>0</v>
      </c>
      <c r="T20" s="34">
        <f t="shared" si="7"/>
        <v>0</v>
      </c>
      <c r="U20" s="34">
        <f t="shared" si="8"/>
        <v>0</v>
      </c>
      <c r="V20" s="34">
        <f t="shared" si="9"/>
        <v>0</v>
      </c>
      <c r="W20" s="34">
        <f t="shared" si="10"/>
        <v>0</v>
      </c>
      <c r="X20" s="34">
        <f t="shared" si="11"/>
        <v>0</v>
      </c>
      <c r="Y20" s="26"/>
      <c r="Z20" s="17">
        <f t="shared" si="12"/>
        <v>0</v>
      </c>
      <c r="AA20" s="17">
        <f t="shared" si="13"/>
        <v>0</v>
      </c>
      <c r="AB20" s="17">
        <f t="shared" si="14"/>
        <v>0</v>
      </c>
      <c r="AD20" s="34">
        <v>21</v>
      </c>
      <c r="AE20" s="34">
        <f>G20*0.544680134680135</f>
        <v>0</v>
      </c>
      <c r="AF20" s="34">
        <f>G20*(1-0.544680134680135)</f>
        <v>0</v>
      </c>
      <c r="AG20" s="29" t="s">
        <v>13</v>
      </c>
      <c r="AM20" s="34">
        <f t="shared" si="15"/>
        <v>0</v>
      </c>
      <c r="AN20" s="34">
        <f t="shared" si="16"/>
        <v>0</v>
      </c>
      <c r="AO20" s="35" t="s">
        <v>335</v>
      </c>
      <c r="AP20" s="35" t="s">
        <v>344</v>
      </c>
      <c r="AQ20" s="26" t="s">
        <v>346</v>
      </c>
      <c r="AS20" s="34">
        <f t="shared" si="17"/>
        <v>0</v>
      </c>
      <c r="AT20" s="34">
        <f t="shared" si="18"/>
        <v>0</v>
      </c>
      <c r="AU20" s="34">
        <v>0</v>
      </c>
      <c r="AV20" s="34">
        <f t="shared" si="19"/>
        <v>0.7030000000000001</v>
      </c>
    </row>
    <row r="21" spans="1:48" ht="12.75">
      <c r="A21" s="4" t="s">
        <v>14</v>
      </c>
      <c r="B21" s="4"/>
      <c r="C21" s="4" t="s">
        <v>107</v>
      </c>
      <c r="D21" s="4" t="s">
        <v>205</v>
      </c>
      <c r="E21" s="4" t="s">
        <v>294</v>
      </c>
      <c r="F21" s="17">
        <v>402</v>
      </c>
      <c r="G21" s="17">
        <v>0</v>
      </c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0.00088</v>
      </c>
      <c r="L21" s="17">
        <f t="shared" si="3"/>
        <v>0.35376</v>
      </c>
      <c r="M21" s="29" t="s">
        <v>324</v>
      </c>
      <c r="P21" s="34">
        <f t="shared" si="4"/>
        <v>0</v>
      </c>
      <c r="R21" s="34">
        <f t="shared" si="5"/>
        <v>0</v>
      </c>
      <c r="S21" s="34">
        <f t="shared" si="6"/>
        <v>0</v>
      </c>
      <c r="T21" s="34">
        <f t="shared" si="7"/>
        <v>0</v>
      </c>
      <c r="U21" s="34">
        <f t="shared" si="8"/>
        <v>0</v>
      </c>
      <c r="V21" s="34">
        <f t="shared" si="9"/>
        <v>0</v>
      </c>
      <c r="W21" s="34">
        <f t="shared" si="10"/>
        <v>0</v>
      </c>
      <c r="X21" s="34">
        <f t="shared" si="11"/>
        <v>0</v>
      </c>
      <c r="Y21" s="26"/>
      <c r="Z21" s="17">
        <f t="shared" si="12"/>
        <v>0</v>
      </c>
      <c r="AA21" s="17">
        <f t="shared" si="13"/>
        <v>0</v>
      </c>
      <c r="AB21" s="17">
        <f t="shared" si="14"/>
        <v>0</v>
      </c>
      <c r="AD21" s="34">
        <v>21</v>
      </c>
      <c r="AE21" s="34">
        <f>G21*0.592315092854436</f>
        <v>0</v>
      </c>
      <c r="AF21" s="34">
        <f>G21*(1-0.592315092854436)</f>
        <v>0</v>
      </c>
      <c r="AG21" s="29" t="s">
        <v>13</v>
      </c>
      <c r="AM21" s="34">
        <f t="shared" si="15"/>
        <v>0</v>
      </c>
      <c r="AN21" s="34">
        <f t="shared" si="16"/>
        <v>0</v>
      </c>
      <c r="AO21" s="35" t="s">
        <v>335</v>
      </c>
      <c r="AP21" s="35" t="s">
        <v>344</v>
      </c>
      <c r="AQ21" s="26" t="s">
        <v>346</v>
      </c>
      <c r="AS21" s="34">
        <f t="shared" si="17"/>
        <v>0</v>
      </c>
      <c r="AT21" s="34">
        <f t="shared" si="18"/>
        <v>0</v>
      </c>
      <c r="AU21" s="34">
        <v>0</v>
      </c>
      <c r="AV21" s="34">
        <f t="shared" si="19"/>
        <v>0.35376</v>
      </c>
    </row>
    <row r="22" spans="1:48" ht="12.75">
      <c r="A22" s="4" t="s">
        <v>15</v>
      </c>
      <c r="B22" s="4"/>
      <c r="C22" s="4" t="s">
        <v>108</v>
      </c>
      <c r="D22" s="4" t="s">
        <v>206</v>
      </c>
      <c r="E22" s="4" t="s">
        <v>294</v>
      </c>
      <c r="F22" s="17">
        <v>342</v>
      </c>
      <c r="G22" s="17">
        <v>0</v>
      </c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0.00101</v>
      </c>
      <c r="L22" s="17">
        <f t="shared" si="3"/>
        <v>0.34542</v>
      </c>
      <c r="M22" s="29" t="s">
        <v>324</v>
      </c>
      <c r="P22" s="34">
        <f t="shared" si="4"/>
        <v>0</v>
      </c>
      <c r="R22" s="34">
        <f t="shared" si="5"/>
        <v>0</v>
      </c>
      <c r="S22" s="34">
        <f t="shared" si="6"/>
        <v>0</v>
      </c>
      <c r="T22" s="34">
        <f t="shared" si="7"/>
        <v>0</v>
      </c>
      <c r="U22" s="34">
        <f t="shared" si="8"/>
        <v>0</v>
      </c>
      <c r="V22" s="34">
        <f t="shared" si="9"/>
        <v>0</v>
      </c>
      <c r="W22" s="34">
        <f t="shared" si="10"/>
        <v>0</v>
      </c>
      <c r="X22" s="34">
        <f t="shared" si="11"/>
        <v>0</v>
      </c>
      <c r="Y22" s="26"/>
      <c r="Z22" s="17">
        <f t="shared" si="12"/>
        <v>0</v>
      </c>
      <c r="AA22" s="17">
        <f t="shared" si="13"/>
        <v>0</v>
      </c>
      <c r="AB22" s="17">
        <f t="shared" si="14"/>
        <v>0</v>
      </c>
      <c r="AD22" s="34">
        <v>21</v>
      </c>
      <c r="AE22" s="34">
        <f>G22*0.632468193384224</f>
        <v>0</v>
      </c>
      <c r="AF22" s="34">
        <f>G22*(1-0.632468193384224)</f>
        <v>0</v>
      </c>
      <c r="AG22" s="29" t="s">
        <v>13</v>
      </c>
      <c r="AM22" s="34">
        <f t="shared" si="15"/>
        <v>0</v>
      </c>
      <c r="AN22" s="34">
        <f t="shared" si="16"/>
        <v>0</v>
      </c>
      <c r="AO22" s="35" t="s">
        <v>335</v>
      </c>
      <c r="AP22" s="35" t="s">
        <v>344</v>
      </c>
      <c r="AQ22" s="26" t="s">
        <v>346</v>
      </c>
      <c r="AS22" s="34">
        <f t="shared" si="17"/>
        <v>0</v>
      </c>
      <c r="AT22" s="34">
        <f t="shared" si="18"/>
        <v>0</v>
      </c>
      <c r="AU22" s="34">
        <v>0</v>
      </c>
      <c r="AV22" s="34">
        <f t="shared" si="19"/>
        <v>0.34542</v>
      </c>
    </row>
    <row r="23" spans="1:48" ht="12.75">
      <c r="A23" s="4" t="s">
        <v>16</v>
      </c>
      <c r="B23" s="4"/>
      <c r="C23" s="4" t="s">
        <v>109</v>
      </c>
      <c r="D23" s="4" t="s">
        <v>207</v>
      </c>
      <c r="E23" s="4" t="s">
        <v>294</v>
      </c>
      <c r="F23" s="17">
        <v>189</v>
      </c>
      <c r="G23" s="17">
        <v>0</v>
      </c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0.0016</v>
      </c>
      <c r="L23" s="17">
        <f t="shared" si="3"/>
        <v>0.3024</v>
      </c>
      <c r="M23" s="29" t="s">
        <v>324</v>
      </c>
      <c r="P23" s="34">
        <f t="shared" si="4"/>
        <v>0</v>
      </c>
      <c r="R23" s="34">
        <f t="shared" si="5"/>
        <v>0</v>
      </c>
      <c r="S23" s="34">
        <f t="shared" si="6"/>
        <v>0</v>
      </c>
      <c r="T23" s="34">
        <f t="shared" si="7"/>
        <v>0</v>
      </c>
      <c r="U23" s="34">
        <f t="shared" si="8"/>
        <v>0</v>
      </c>
      <c r="V23" s="34">
        <f t="shared" si="9"/>
        <v>0</v>
      </c>
      <c r="W23" s="34">
        <f t="shared" si="10"/>
        <v>0</v>
      </c>
      <c r="X23" s="34">
        <f t="shared" si="11"/>
        <v>0</v>
      </c>
      <c r="Y23" s="26"/>
      <c r="Z23" s="17">
        <f t="shared" si="12"/>
        <v>0</v>
      </c>
      <c r="AA23" s="17">
        <f t="shared" si="13"/>
        <v>0</v>
      </c>
      <c r="AB23" s="17">
        <f t="shared" si="14"/>
        <v>0</v>
      </c>
      <c r="AD23" s="34">
        <v>21</v>
      </c>
      <c r="AE23" s="34">
        <f>G23*0.737426688119583</f>
        <v>0</v>
      </c>
      <c r="AF23" s="34">
        <f>G23*(1-0.737426688119583)</f>
        <v>0</v>
      </c>
      <c r="AG23" s="29" t="s">
        <v>13</v>
      </c>
      <c r="AM23" s="34">
        <f t="shared" si="15"/>
        <v>0</v>
      </c>
      <c r="AN23" s="34">
        <f t="shared" si="16"/>
        <v>0</v>
      </c>
      <c r="AO23" s="35" t="s">
        <v>335</v>
      </c>
      <c r="AP23" s="35" t="s">
        <v>344</v>
      </c>
      <c r="AQ23" s="26" t="s">
        <v>346</v>
      </c>
      <c r="AS23" s="34">
        <f t="shared" si="17"/>
        <v>0</v>
      </c>
      <c r="AT23" s="34">
        <f t="shared" si="18"/>
        <v>0</v>
      </c>
      <c r="AU23" s="34">
        <v>0</v>
      </c>
      <c r="AV23" s="34">
        <f t="shared" si="19"/>
        <v>0.3024</v>
      </c>
    </row>
    <row r="24" spans="1:48" ht="12.75">
      <c r="A24" s="4" t="s">
        <v>17</v>
      </c>
      <c r="B24" s="4"/>
      <c r="C24" s="4" t="s">
        <v>110</v>
      </c>
      <c r="D24" s="4" t="s">
        <v>208</v>
      </c>
      <c r="E24" s="4" t="s">
        <v>294</v>
      </c>
      <c r="F24" s="17">
        <v>17</v>
      </c>
      <c r="G24" s="17">
        <v>0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0.00196</v>
      </c>
      <c r="L24" s="17">
        <f t="shared" si="3"/>
        <v>0.03332</v>
      </c>
      <c r="M24" s="29" t="s">
        <v>324</v>
      </c>
      <c r="P24" s="34">
        <f t="shared" si="4"/>
        <v>0</v>
      </c>
      <c r="R24" s="34">
        <f t="shared" si="5"/>
        <v>0</v>
      </c>
      <c r="S24" s="34">
        <f t="shared" si="6"/>
        <v>0</v>
      </c>
      <c r="T24" s="34">
        <f t="shared" si="7"/>
        <v>0</v>
      </c>
      <c r="U24" s="34">
        <f t="shared" si="8"/>
        <v>0</v>
      </c>
      <c r="V24" s="34">
        <f t="shared" si="9"/>
        <v>0</v>
      </c>
      <c r="W24" s="34">
        <f t="shared" si="10"/>
        <v>0</v>
      </c>
      <c r="X24" s="34">
        <f t="shared" si="11"/>
        <v>0</v>
      </c>
      <c r="Y24" s="26"/>
      <c r="Z24" s="17">
        <f t="shared" si="12"/>
        <v>0</v>
      </c>
      <c r="AA24" s="17">
        <f t="shared" si="13"/>
        <v>0</v>
      </c>
      <c r="AB24" s="17">
        <f t="shared" si="14"/>
        <v>0</v>
      </c>
      <c r="AD24" s="34">
        <v>21</v>
      </c>
      <c r="AE24" s="34">
        <f>G24*0.776285647659154</f>
        <v>0</v>
      </c>
      <c r="AF24" s="34">
        <f>G24*(1-0.776285647659154)</f>
        <v>0</v>
      </c>
      <c r="AG24" s="29" t="s">
        <v>13</v>
      </c>
      <c r="AM24" s="34">
        <f t="shared" si="15"/>
        <v>0</v>
      </c>
      <c r="AN24" s="34">
        <f t="shared" si="16"/>
        <v>0</v>
      </c>
      <c r="AO24" s="35" t="s">
        <v>335</v>
      </c>
      <c r="AP24" s="35" t="s">
        <v>344</v>
      </c>
      <c r="AQ24" s="26" t="s">
        <v>346</v>
      </c>
      <c r="AS24" s="34">
        <f t="shared" si="17"/>
        <v>0</v>
      </c>
      <c r="AT24" s="34">
        <f t="shared" si="18"/>
        <v>0</v>
      </c>
      <c r="AU24" s="34">
        <v>0</v>
      </c>
      <c r="AV24" s="34">
        <f t="shared" si="19"/>
        <v>0.03332</v>
      </c>
    </row>
    <row r="25" spans="1:48" ht="12.75">
      <c r="A25" s="4" t="s">
        <v>18</v>
      </c>
      <c r="B25" s="4"/>
      <c r="C25" s="4" t="s">
        <v>111</v>
      </c>
      <c r="D25" s="4" t="s">
        <v>209</v>
      </c>
      <c r="E25" s="4" t="s">
        <v>294</v>
      </c>
      <c r="F25" s="17">
        <v>39</v>
      </c>
      <c r="G25" s="17">
        <v>0</v>
      </c>
      <c r="H25" s="17">
        <f t="shared" si="0"/>
        <v>0</v>
      </c>
      <c r="I25" s="17">
        <f t="shared" si="1"/>
        <v>0</v>
      </c>
      <c r="J25" s="17">
        <f t="shared" si="2"/>
        <v>0</v>
      </c>
      <c r="K25" s="17">
        <v>0.00231</v>
      </c>
      <c r="L25" s="17">
        <f t="shared" si="3"/>
        <v>0.09009</v>
      </c>
      <c r="M25" s="29" t="s">
        <v>324</v>
      </c>
      <c r="P25" s="34">
        <f t="shared" si="4"/>
        <v>0</v>
      </c>
      <c r="R25" s="34">
        <f t="shared" si="5"/>
        <v>0</v>
      </c>
      <c r="S25" s="34">
        <f t="shared" si="6"/>
        <v>0</v>
      </c>
      <c r="T25" s="34">
        <f t="shared" si="7"/>
        <v>0</v>
      </c>
      <c r="U25" s="34">
        <f t="shared" si="8"/>
        <v>0</v>
      </c>
      <c r="V25" s="34">
        <f t="shared" si="9"/>
        <v>0</v>
      </c>
      <c r="W25" s="34">
        <f t="shared" si="10"/>
        <v>0</v>
      </c>
      <c r="X25" s="34">
        <f t="shared" si="11"/>
        <v>0</v>
      </c>
      <c r="Y25" s="26"/>
      <c r="Z25" s="17">
        <f t="shared" si="12"/>
        <v>0</v>
      </c>
      <c r="AA25" s="17">
        <f t="shared" si="13"/>
        <v>0</v>
      </c>
      <c r="AB25" s="17">
        <f t="shared" si="14"/>
        <v>0</v>
      </c>
      <c r="AD25" s="34">
        <v>21</v>
      </c>
      <c r="AE25" s="34">
        <f>G25*0.797042469614041</f>
        <v>0</v>
      </c>
      <c r="AF25" s="34">
        <f>G25*(1-0.797042469614041)</f>
        <v>0</v>
      </c>
      <c r="AG25" s="29" t="s">
        <v>13</v>
      </c>
      <c r="AM25" s="34">
        <f t="shared" si="15"/>
        <v>0</v>
      </c>
      <c r="AN25" s="34">
        <f t="shared" si="16"/>
        <v>0</v>
      </c>
      <c r="AO25" s="35" t="s">
        <v>335</v>
      </c>
      <c r="AP25" s="35" t="s">
        <v>344</v>
      </c>
      <c r="AQ25" s="26" t="s">
        <v>346</v>
      </c>
      <c r="AS25" s="34">
        <f t="shared" si="17"/>
        <v>0</v>
      </c>
      <c r="AT25" s="34">
        <f t="shared" si="18"/>
        <v>0</v>
      </c>
      <c r="AU25" s="34">
        <v>0</v>
      </c>
      <c r="AV25" s="34">
        <f t="shared" si="19"/>
        <v>0.09009</v>
      </c>
    </row>
    <row r="26" spans="1:48" ht="12.75">
      <c r="A26" s="4" t="s">
        <v>19</v>
      </c>
      <c r="B26" s="4"/>
      <c r="C26" s="4" t="s">
        <v>112</v>
      </c>
      <c r="D26" s="4" t="s">
        <v>210</v>
      </c>
      <c r="E26" s="4" t="s">
        <v>294</v>
      </c>
      <c r="F26" s="17">
        <v>128</v>
      </c>
      <c r="G26" s="17">
        <v>0</v>
      </c>
      <c r="H26" s="17">
        <f t="shared" si="0"/>
        <v>0</v>
      </c>
      <c r="I26" s="17">
        <f t="shared" si="1"/>
        <v>0</v>
      </c>
      <c r="J26" s="17">
        <f t="shared" si="2"/>
        <v>0</v>
      </c>
      <c r="K26" s="17">
        <v>0.00374</v>
      </c>
      <c r="L26" s="17">
        <f t="shared" si="3"/>
        <v>0.47872</v>
      </c>
      <c r="M26" s="29" t="s">
        <v>324</v>
      </c>
      <c r="P26" s="34">
        <f t="shared" si="4"/>
        <v>0</v>
      </c>
      <c r="R26" s="34">
        <f t="shared" si="5"/>
        <v>0</v>
      </c>
      <c r="S26" s="34">
        <f t="shared" si="6"/>
        <v>0</v>
      </c>
      <c r="T26" s="34">
        <f t="shared" si="7"/>
        <v>0</v>
      </c>
      <c r="U26" s="34">
        <f t="shared" si="8"/>
        <v>0</v>
      </c>
      <c r="V26" s="34">
        <f t="shared" si="9"/>
        <v>0</v>
      </c>
      <c r="W26" s="34">
        <f t="shared" si="10"/>
        <v>0</v>
      </c>
      <c r="X26" s="34">
        <f t="shared" si="11"/>
        <v>0</v>
      </c>
      <c r="Y26" s="26"/>
      <c r="Z26" s="17">
        <f t="shared" si="12"/>
        <v>0</v>
      </c>
      <c r="AA26" s="17">
        <f t="shared" si="13"/>
        <v>0</v>
      </c>
      <c r="AB26" s="17">
        <f t="shared" si="14"/>
        <v>0</v>
      </c>
      <c r="AD26" s="34">
        <v>21</v>
      </c>
      <c r="AE26" s="34">
        <f>G26*0.853370089593384</f>
        <v>0</v>
      </c>
      <c r="AF26" s="34">
        <f>G26*(1-0.853370089593384)</f>
        <v>0</v>
      </c>
      <c r="AG26" s="29" t="s">
        <v>13</v>
      </c>
      <c r="AM26" s="34">
        <f t="shared" si="15"/>
        <v>0</v>
      </c>
      <c r="AN26" s="34">
        <f t="shared" si="16"/>
        <v>0</v>
      </c>
      <c r="AO26" s="35" t="s">
        <v>335</v>
      </c>
      <c r="AP26" s="35" t="s">
        <v>344</v>
      </c>
      <c r="AQ26" s="26" t="s">
        <v>346</v>
      </c>
      <c r="AS26" s="34">
        <f t="shared" si="17"/>
        <v>0</v>
      </c>
      <c r="AT26" s="34">
        <f t="shared" si="18"/>
        <v>0</v>
      </c>
      <c r="AU26" s="34">
        <v>0</v>
      </c>
      <c r="AV26" s="34">
        <f t="shared" si="19"/>
        <v>0.47872</v>
      </c>
    </row>
    <row r="27" spans="1:48" ht="12.75">
      <c r="A27" s="4" t="s">
        <v>20</v>
      </c>
      <c r="B27" s="4"/>
      <c r="C27" s="4" t="s">
        <v>113</v>
      </c>
      <c r="D27" s="4" t="s">
        <v>211</v>
      </c>
      <c r="E27" s="4" t="s">
        <v>294</v>
      </c>
      <c r="F27" s="17">
        <v>6</v>
      </c>
      <c r="G27" s="17">
        <v>0</v>
      </c>
      <c r="H27" s="17">
        <f t="shared" si="0"/>
        <v>0</v>
      </c>
      <c r="I27" s="17">
        <f t="shared" si="1"/>
        <v>0</v>
      </c>
      <c r="J27" s="17">
        <f t="shared" si="2"/>
        <v>0</v>
      </c>
      <c r="K27" s="17">
        <v>0.00513</v>
      </c>
      <c r="L27" s="17">
        <f t="shared" si="3"/>
        <v>0.030780000000000002</v>
      </c>
      <c r="M27" s="29" t="s">
        <v>324</v>
      </c>
      <c r="P27" s="34">
        <f t="shared" si="4"/>
        <v>0</v>
      </c>
      <c r="R27" s="34">
        <f t="shared" si="5"/>
        <v>0</v>
      </c>
      <c r="S27" s="34">
        <f t="shared" si="6"/>
        <v>0</v>
      </c>
      <c r="T27" s="34">
        <f t="shared" si="7"/>
        <v>0</v>
      </c>
      <c r="U27" s="34">
        <f t="shared" si="8"/>
        <v>0</v>
      </c>
      <c r="V27" s="34">
        <f t="shared" si="9"/>
        <v>0</v>
      </c>
      <c r="W27" s="34">
        <f t="shared" si="10"/>
        <v>0</v>
      </c>
      <c r="X27" s="34">
        <f t="shared" si="11"/>
        <v>0</v>
      </c>
      <c r="Y27" s="26"/>
      <c r="Z27" s="17">
        <f t="shared" si="12"/>
        <v>0</v>
      </c>
      <c r="AA27" s="17">
        <f t="shared" si="13"/>
        <v>0</v>
      </c>
      <c r="AB27" s="17">
        <f t="shared" si="14"/>
        <v>0</v>
      </c>
      <c r="AD27" s="34">
        <v>21</v>
      </c>
      <c r="AE27" s="34">
        <f>G27*0.902070796460177</f>
        <v>0</v>
      </c>
      <c r="AF27" s="34">
        <f>G27*(1-0.902070796460177)</f>
        <v>0</v>
      </c>
      <c r="AG27" s="29" t="s">
        <v>13</v>
      </c>
      <c r="AM27" s="34">
        <f t="shared" si="15"/>
        <v>0</v>
      </c>
      <c r="AN27" s="34">
        <f t="shared" si="16"/>
        <v>0</v>
      </c>
      <c r="AO27" s="35" t="s">
        <v>335</v>
      </c>
      <c r="AP27" s="35" t="s">
        <v>344</v>
      </c>
      <c r="AQ27" s="26" t="s">
        <v>346</v>
      </c>
      <c r="AS27" s="34">
        <f t="shared" si="17"/>
        <v>0</v>
      </c>
      <c r="AT27" s="34">
        <f t="shared" si="18"/>
        <v>0</v>
      </c>
      <c r="AU27" s="34">
        <v>0</v>
      </c>
      <c r="AV27" s="34">
        <f t="shared" si="19"/>
        <v>0.030780000000000002</v>
      </c>
    </row>
    <row r="28" spans="1:48" ht="12.75">
      <c r="A28" s="4" t="s">
        <v>21</v>
      </c>
      <c r="B28" s="4"/>
      <c r="C28" s="4" t="s">
        <v>114</v>
      </c>
      <c r="D28" s="4" t="s">
        <v>212</v>
      </c>
      <c r="E28" s="4" t="s">
        <v>294</v>
      </c>
      <c r="F28" s="17">
        <v>1700</v>
      </c>
      <c r="G28" s="17">
        <v>0</v>
      </c>
      <c r="H28" s="17">
        <f t="shared" si="0"/>
        <v>0</v>
      </c>
      <c r="I28" s="17">
        <f t="shared" si="1"/>
        <v>0</v>
      </c>
      <c r="J28" s="17">
        <f t="shared" si="2"/>
        <v>0</v>
      </c>
      <c r="K28" s="17">
        <v>0</v>
      </c>
      <c r="L28" s="17">
        <f t="shared" si="3"/>
        <v>0</v>
      </c>
      <c r="M28" s="29" t="s">
        <v>324</v>
      </c>
      <c r="P28" s="34">
        <f t="shared" si="4"/>
        <v>0</v>
      </c>
      <c r="R28" s="34">
        <f t="shared" si="5"/>
        <v>0</v>
      </c>
      <c r="S28" s="34">
        <f t="shared" si="6"/>
        <v>0</v>
      </c>
      <c r="T28" s="34">
        <f t="shared" si="7"/>
        <v>0</v>
      </c>
      <c r="U28" s="34">
        <f t="shared" si="8"/>
        <v>0</v>
      </c>
      <c r="V28" s="34">
        <f t="shared" si="9"/>
        <v>0</v>
      </c>
      <c r="W28" s="34">
        <f t="shared" si="10"/>
        <v>0</v>
      </c>
      <c r="X28" s="34">
        <f t="shared" si="11"/>
        <v>0</v>
      </c>
      <c r="Y28" s="26"/>
      <c r="Z28" s="17">
        <f t="shared" si="12"/>
        <v>0</v>
      </c>
      <c r="AA28" s="17">
        <f t="shared" si="13"/>
        <v>0</v>
      </c>
      <c r="AB28" s="17">
        <f t="shared" si="14"/>
        <v>0</v>
      </c>
      <c r="AD28" s="34">
        <v>21</v>
      </c>
      <c r="AE28" s="34">
        <f>G28*0.028</f>
        <v>0</v>
      </c>
      <c r="AF28" s="34">
        <f>G28*(1-0.028)</f>
        <v>0</v>
      </c>
      <c r="AG28" s="29" t="s">
        <v>13</v>
      </c>
      <c r="AM28" s="34">
        <f t="shared" si="15"/>
        <v>0</v>
      </c>
      <c r="AN28" s="34">
        <f t="shared" si="16"/>
        <v>0</v>
      </c>
      <c r="AO28" s="35" t="s">
        <v>335</v>
      </c>
      <c r="AP28" s="35" t="s">
        <v>344</v>
      </c>
      <c r="AQ28" s="26" t="s">
        <v>346</v>
      </c>
      <c r="AS28" s="34">
        <f t="shared" si="17"/>
        <v>0</v>
      </c>
      <c r="AT28" s="34">
        <f t="shared" si="18"/>
        <v>0</v>
      </c>
      <c r="AU28" s="34">
        <v>0</v>
      </c>
      <c r="AV28" s="34">
        <f t="shared" si="19"/>
        <v>0</v>
      </c>
    </row>
    <row r="29" spans="1:48" ht="12.75">
      <c r="A29" s="4" t="s">
        <v>22</v>
      </c>
      <c r="B29" s="4"/>
      <c r="C29" s="4" t="s">
        <v>115</v>
      </c>
      <c r="D29" s="4" t="s">
        <v>213</v>
      </c>
      <c r="E29" s="4" t="s">
        <v>294</v>
      </c>
      <c r="F29" s="17">
        <v>6</v>
      </c>
      <c r="G29" s="17">
        <v>0</v>
      </c>
      <c r="H29" s="17">
        <f t="shared" si="0"/>
        <v>0</v>
      </c>
      <c r="I29" s="17">
        <f t="shared" si="1"/>
        <v>0</v>
      </c>
      <c r="J29" s="17">
        <f t="shared" si="2"/>
        <v>0</v>
      </c>
      <c r="K29" s="17">
        <v>0</v>
      </c>
      <c r="L29" s="17">
        <f t="shared" si="3"/>
        <v>0</v>
      </c>
      <c r="M29" s="29" t="s">
        <v>324</v>
      </c>
      <c r="P29" s="34">
        <f t="shared" si="4"/>
        <v>0</v>
      </c>
      <c r="R29" s="34">
        <f t="shared" si="5"/>
        <v>0</v>
      </c>
      <c r="S29" s="34">
        <f t="shared" si="6"/>
        <v>0</v>
      </c>
      <c r="T29" s="34">
        <f t="shared" si="7"/>
        <v>0</v>
      </c>
      <c r="U29" s="34">
        <f t="shared" si="8"/>
        <v>0</v>
      </c>
      <c r="V29" s="34">
        <f t="shared" si="9"/>
        <v>0</v>
      </c>
      <c r="W29" s="34">
        <f t="shared" si="10"/>
        <v>0</v>
      </c>
      <c r="X29" s="34">
        <f t="shared" si="11"/>
        <v>0</v>
      </c>
      <c r="Y29" s="26"/>
      <c r="Z29" s="17">
        <f t="shared" si="12"/>
        <v>0</v>
      </c>
      <c r="AA29" s="17">
        <f t="shared" si="13"/>
        <v>0</v>
      </c>
      <c r="AB29" s="17">
        <f t="shared" si="14"/>
        <v>0</v>
      </c>
      <c r="AD29" s="34">
        <v>21</v>
      </c>
      <c r="AE29" s="34">
        <f>G29*0.0415841584158416</f>
        <v>0</v>
      </c>
      <c r="AF29" s="34">
        <f>G29*(1-0.0415841584158416)</f>
        <v>0</v>
      </c>
      <c r="AG29" s="29" t="s">
        <v>13</v>
      </c>
      <c r="AM29" s="34">
        <f t="shared" si="15"/>
        <v>0</v>
      </c>
      <c r="AN29" s="34">
        <f t="shared" si="16"/>
        <v>0</v>
      </c>
      <c r="AO29" s="35" t="s">
        <v>335</v>
      </c>
      <c r="AP29" s="35" t="s">
        <v>344</v>
      </c>
      <c r="AQ29" s="26" t="s">
        <v>346</v>
      </c>
      <c r="AS29" s="34">
        <f t="shared" si="17"/>
        <v>0</v>
      </c>
      <c r="AT29" s="34">
        <f t="shared" si="18"/>
        <v>0</v>
      </c>
      <c r="AU29" s="34">
        <v>0</v>
      </c>
      <c r="AV29" s="34">
        <f t="shared" si="19"/>
        <v>0</v>
      </c>
    </row>
    <row r="30" spans="1:48" ht="12.75">
      <c r="A30" s="4" t="s">
        <v>23</v>
      </c>
      <c r="B30" s="4"/>
      <c r="C30" s="4" t="s">
        <v>116</v>
      </c>
      <c r="D30" s="4" t="s">
        <v>214</v>
      </c>
      <c r="E30" s="4" t="s">
        <v>295</v>
      </c>
      <c r="F30" s="17">
        <v>18</v>
      </c>
      <c r="G30" s="17">
        <v>0</v>
      </c>
      <c r="H30" s="17">
        <f t="shared" si="0"/>
        <v>0</v>
      </c>
      <c r="I30" s="17">
        <f t="shared" si="1"/>
        <v>0</v>
      </c>
      <c r="J30" s="17">
        <f t="shared" si="2"/>
        <v>0</v>
      </c>
      <c r="K30" s="17">
        <v>0.00188</v>
      </c>
      <c r="L30" s="17">
        <f t="shared" si="3"/>
        <v>0.03384</v>
      </c>
      <c r="M30" s="29" t="s">
        <v>324</v>
      </c>
      <c r="P30" s="34">
        <f t="shared" si="4"/>
        <v>0</v>
      </c>
      <c r="R30" s="34">
        <f t="shared" si="5"/>
        <v>0</v>
      </c>
      <c r="S30" s="34">
        <f t="shared" si="6"/>
        <v>0</v>
      </c>
      <c r="T30" s="34">
        <f t="shared" si="7"/>
        <v>0</v>
      </c>
      <c r="U30" s="34">
        <f t="shared" si="8"/>
        <v>0</v>
      </c>
      <c r="V30" s="34">
        <f t="shared" si="9"/>
        <v>0</v>
      </c>
      <c r="W30" s="34">
        <f t="shared" si="10"/>
        <v>0</v>
      </c>
      <c r="X30" s="34">
        <f t="shared" si="11"/>
        <v>0</v>
      </c>
      <c r="Y30" s="26"/>
      <c r="Z30" s="17">
        <f t="shared" si="12"/>
        <v>0</v>
      </c>
      <c r="AA30" s="17">
        <f t="shared" si="13"/>
        <v>0</v>
      </c>
      <c r="AB30" s="17">
        <f t="shared" si="14"/>
        <v>0</v>
      </c>
      <c r="AD30" s="34">
        <v>21</v>
      </c>
      <c r="AE30" s="34">
        <f>G30*0.347350835322196</f>
        <v>0</v>
      </c>
      <c r="AF30" s="34">
        <f>G30*(1-0.347350835322196)</f>
        <v>0</v>
      </c>
      <c r="AG30" s="29" t="s">
        <v>13</v>
      </c>
      <c r="AM30" s="34">
        <f t="shared" si="15"/>
        <v>0</v>
      </c>
      <c r="AN30" s="34">
        <f t="shared" si="16"/>
        <v>0</v>
      </c>
      <c r="AO30" s="35" t="s">
        <v>335</v>
      </c>
      <c r="AP30" s="35" t="s">
        <v>344</v>
      </c>
      <c r="AQ30" s="26" t="s">
        <v>346</v>
      </c>
      <c r="AS30" s="34">
        <f t="shared" si="17"/>
        <v>0</v>
      </c>
      <c r="AT30" s="34">
        <f t="shared" si="18"/>
        <v>0</v>
      </c>
      <c r="AU30" s="34">
        <v>0</v>
      </c>
      <c r="AV30" s="34">
        <f t="shared" si="19"/>
        <v>0.03384</v>
      </c>
    </row>
    <row r="31" spans="1:48" ht="12.75">
      <c r="A31" s="4" t="s">
        <v>24</v>
      </c>
      <c r="B31" s="4"/>
      <c r="C31" s="4" t="s">
        <v>117</v>
      </c>
      <c r="D31" s="4" t="s">
        <v>215</v>
      </c>
      <c r="E31" s="4" t="s">
        <v>294</v>
      </c>
      <c r="F31" s="17">
        <v>750</v>
      </c>
      <c r="G31" s="17">
        <v>0</v>
      </c>
      <c r="H31" s="17">
        <f t="shared" si="0"/>
        <v>0</v>
      </c>
      <c r="I31" s="17">
        <f t="shared" si="1"/>
        <v>0</v>
      </c>
      <c r="J31" s="17">
        <f t="shared" si="2"/>
        <v>0</v>
      </c>
      <c r="K31" s="17">
        <v>0.00322</v>
      </c>
      <c r="L31" s="17">
        <f t="shared" si="3"/>
        <v>2.415</v>
      </c>
      <c r="M31" s="29" t="s">
        <v>324</v>
      </c>
      <c r="P31" s="34">
        <f t="shared" si="4"/>
        <v>0</v>
      </c>
      <c r="R31" s="34">
        <f t="shared" si="5"/>
        <v>0</v>
      </c>
      <c r="S31" s="34">
        <f t="shared" si="6"/>
        <v>0</v>
      </c>
      <c r="T31" s="34">
        <f t="shared" si="7"/>
        <v>0</v>
      </c>
      <c r="U31" s="34">
        <f t="shared" si="8"/>
        <v>0</v>
      </c>
      <c r="V31" s="34">
        <f t="shared" si="9"/>
        <v>0</v>
      </c>
      <c r="W31" s="34">
        <f t="shared" si="10"/>
        <v>0</v>
      </c>
      <c r="X31" s="34">
        <f t="shared" si="11"/>
        <v>0</v>
      </c>
      <c r="Y31" s="26"/>
      <c r="Z31" s="17">
        <f t="shared" si="12"/>
        <v>0</v>
      </c>
      <c r="AA31" s="17">
        <f t="shared" si="13"/>
        <v>0</v>
      </c>
      <c r="AB31" s="17">
        <f t="shared" si="14"/>
        <v>0</v>
      </c>
      <c r="AD31" s="34">
        <v>21</v>
      </c>
      <c r="AE31" s="34">
        <f>G31*0.173417721518987</f>
        <v>0</v>
      </c>
      <c r="AF31" s="34">
        <f>G31*(1-0.173417721518987)</f>
        <v>0</v>
      </c>
      <c r="AG31" s="29" t="s">
        <v>13</v>
      </c>
      <c r="AM31" s="34">
        <f t="shared" si="15"/>
        <v>0</v>
      </c>
      <c r="AN31" s="34">
        <f t="shared" si="16"/>
        <v>0</v>
      </c>
      <c r="AO31" s="35" t="s">
        <v>335</v>
      </c>
      <c r="AP31" s="35" t="s">
        <v>344</v>
      </c>
      <c r="AQ31" s="26" t="s">
        <v>346</v>
      </c>
      <c r="AS31" s="34">
        <f t="shared" si="17"/>
        <v>0</v>
      </c>
      <c r="AT31" s="34">
        <f t="shared" si="18"/>
        <v>0</v>
      </c>
      <c r="AU31" s="34">
        <v>0</v>
      </c>
      <c r="AV31" s="34">
        <f t="shared" si="19"/>
        <v>2.415</v>
      </c>
    </row>
    <row r="32" spans="1:48" ht="12.75">
      <c r="A32" s="4" t="s">
        <v>25</v>
      </c>
      <c r="B32" s="4"/>
      <c r="C32" s="4" t="s">
        <v>118</v>
      </c>
      <c r="D32" s="4" t="s">
        <v>216</v>
      </c>
      <c r="E32" s="4" t="s">
        <v>295</v>
      </c>
      <c r="F32" s="17">
        <v>500</v>
      </c>
      <c r="G32" s="17">
        <v>0</v>
      </c>
      <c r="H32" s="17">
        <f t="shared" si="0"/>
        <v>0</v>
      </c>
      <c r="I32" s="17">
        <f t="shared" si="1"/>
        <v>0</v>
      </c>
      <c r="J32" s="17">
        <f t="shared" si="2"/>
        <v>0</v>
      </c>
      <c r="K32" s="17">
        <v>0.00014</v>
      </c>
      <c r="L32" s="17">
        <f t="shared" si="3"/>
        <v>0.06999999999999999</v>
      </c>
      <c r="M32" s="29" t="s">
        <v>324</v>
      </c>
      <c r="P32" s="34">
        <f t="shared" si="4"/>
        <v>0</v>
      </c>
      <c r="R32" s="34">
        <f t="shared" si="5"/>
        <v>0</v>
      </c>
      <c r="S32" s="34">
        <f t="shared" si="6"/>
        <v>0</v>
      </c>
      <c r="T32" s="34">
        <f t="shared" si="7"/>
        <v>0</v>
      </c>
      <c r="U32" s="34">
        <f t="shared" si="8"/>
        <v>0</v>
      </c>
      <c r="V32" s="34">
        <f t="shared" si="9"/>
        <v>0</v>
      </c>
      <c r="W32" s="34">
        <f t="shared" si="10"/>
        <v>0</v>
      </c>
      <c r="X32" s="34">
        <f t="shared" si="11"/>
        <v>0</v>
      </c>
      <c r="Y32" s="26"/>
      <c r="Z32" s="17">
        <f t="shared" si="12"/>
        <v>0</v>
      </c>
      <c r="AA32" s="17">
        <f t="shared" si="13"/>
        <v>0</v>
      </c>
      <c r="AB32" s="17">
        <f t="shared" si="14"/>
        <v>0</v>
      </c>
      <c r="AD32" s="34">
        <v>21</v>
      </c>
      <c r="AE32" s="34">
        <f>G32*0.118483412322275</f>
        <v>0</v>
      </c>
      <c r="AF32" s="34">
        <f>G32*(1-0.118483412322275)</f>
        <v>0</v>
      </c>
      <c r="AG32" s="29" t="s">
        <v>13</v>
      </c>
      <c r="AM32" s="34">
        <f t="shared" si="15"/>
        <v>0</v>
      </c>
      <c r="AN32" s="34">
        <f t="shared" si="16"/>
        <v>0</v>
      </c>
      <c r="AO32" s="35" t="s">
        <v>335</v>
      </c>
      <c r="AP32" s="35" t="s">
        <v>344</v>
      </c>
      <c r="AQ32" s="26" t="s">
        <v>346</v>
      </c>
      <c r="AS32" s="34">
        <f t="shared" si="17"/>
        <v>0</v>
      </c>
      <c r="AT32" s="34">
        <f t="shared" si="18"/>
        <v>0</v>
      </c>
      <c r="AU32" s="34">
        <v>0</v>
      </c>
      <c r="AV32" s="34">
        <f t="shared" si="19"/>
        <v>0.06999999999999999</v>
      </c>
    </row>
    <row r="33" spans="1:48" ht="12.75">
      <c r="A33" s="4" t="s">
        <v>26</v>
      </c>
      <c r="B33" s="4"/>
      <c r="C33" s="4" t="s">
        <v>119</v>
      </c>
      <c r="D33" s="4" t="s">
        <v>217</v>
      </c>
      <c r="E33" s="4" t="s">
        <v>296</v>
      </c>
      <c r="F33" s="17">
        <v>2.485</v>
      </c>
      <c r="G33" s="17">
        <v>0</v>
      </c>
      <c r="H33" s="17">
        <f t="shared" si="0"/>
        <v>0</v>
      </c>
      <c r="I33" s="17">
        <f t="shared" si="1"/>
        <v>0</v>
      </c>
      <c r="J33" s="17">
        <f t="shared" si="2"/>
        <v>0</v>
      </c>
      <c r="K33" s="17">
        <v>0</v>
      </c>
      <c r="L33" s="17">
        <f t="shared" si="3"/>
        <v>0</v>
      </c>
      <c r="M33" s="29" t="s">
        <v>324</v>
      </c>
      <c r="P33" s="34">
        <f t="shared" si="4"/>
        <v>0</v>
      </c>
      <c r="R33" s="34">
        <f t="shared" si="5"/>
        <v>0</v>
      </c>
      <c r="S33" s="34">
        <f t="shared" si="6"/>
        <v>0</v>
      </c>
      <c r="T33" s="34">
        <f t="shared" si="7"/>
        <v>0</v>
      </c>
      <c r="U33" s="34">
        <f t="shared" si="8"/>
        <v>0</v>
      </c>
      <c r="V33" s="34">
        <f t="shared" si="9"/>
        <v>0</v>
      </c>
      <c r="W33" s="34">
        <f t="shared" si="10"/>
        <v>0</v>
      </c>
      <c r="X33" s="34">
        <f t="shared" si="11"/>
        <v>0</v>
      </c>
      <c r="Y33" s="26"/>
      <c r="Z33" s="17">
        <f t="shared" si="12"/>
        <v>0</v>
      </c>
      <c r="AA33" s="17">
        <f t="shared" si="13"/>
        <v>0</v>
      </c>
      <c r="AB33" s="17">
        <f t="shared" si="14"/>
        <v>0</v>
      </c>
      <c r="AD33" s="34">
        <v>21</v>
      </c>
      <c r="AE33" s="34">
        <f>G33*0</f>
        <v>0</v>
      </c>
      <c r="AF33" s="34">
        <f>G33*(1-0)</f>
        <v>0</v>
      </c>
      <c r="AG33" s="29" t="s">
        <v>13</v>
      </c>
      <c r="AM33" s="34">
        <f t="shared" si="15"/>
        <v>0</v>
      </c>
      <c r="AN33" s="34">
        <f t="shared" si="16"/>
        <v>0</v>
      </c>
      <c r="AO33" s="35" t="s">
        <v>335</v>
      </c>
      <c r="AP33" s="35" t="s">
        <v>344</v>
      </c>
      <c r="AQ33" s="26" t="s">
        <v>346</v>
      </c>
      <c r="AS33" s="34">
        <f t="shared" si="17"/>
        <v>0</v>
      </c>
      <c r="AT33" s="34">
        <f t="shared" si="18"/>
        <v>0</v>
      </c>
      <c r="AU33" s="34">
        <v>0</v>
      </c>
      <c r="AV33" s="34">
        <f t="shared" si="19"/>
        <v>0</v>
      </c>
    </row>
    <row r="34" spans="1:37" ht="12.75">
      <c r="A34" s="5"/>
      <c r="B34" s="13"/>
      <c r="C34" s="13" t="s">
        <v>120</v>
      </c>
      <c r="D34" s="13" t="s">
        <v>218</v>
      </c>
      <c r="E34" s="5" t="s">
        <v>6</v>
      </c>
      <c r="F34" s="5" t="s">
        <v>6</v>
      </c>
      <c r="G34" s="5" t="s">
        <v>6</v>
      </c>
      <c r="H34" s="37">
        <f>SUM(H35:H60)</f>
        <v>0</v>
      </c>
      <c r="I34" s="37">
        <f>SUM(I35:I60)</f>
        <v>0</v>
      </c>
      <c r="J34" s="37">
        <f>H34+I34</f>
        <v>0</v>
      </c>
      <c r="K34" s="26"/>
      <c r="L34" s="37">
        <f>SUM(L35:L60)</f>
        <v>0.8921600000000002</v>
      </c>
      <c r="M34" s="26"/>
      <c r="Y34" s="26"/>
      <c r="AI34" s="37">
        <f>SUM(Z35:Z60)</f>
        <v>0</v>
      </c>
      <c r="AJ34" s="37">
        <f>SUM(AA35:AA60)</f>
        <v>0</v>
      </c>
      <c r="AK34" s="37">
        <f>SUM(AB35:AB60)</f>
        <v>0</v>
      </c>
    </row>
    <row r="35" spans="1:48" ht="12.75">
      <c r="A35" s="4" t="s">
        <v>27</v>
      </c>
      <c r="B35" s="4"/>
      <c r="C35" s="4" t="s">
        <v>121</v>
      </c>
      <c r="D35" s="4" t="s">
        <v>219</v>
      </c>
      <c r="E35" s="4" t="s">
        <v>295</v>
      </c>
      <c r="F35" s="17">
        <v>165</v>
      </c>
      <c r="G35" s="17">
        <v>0</v>
      </c>
      <c r="H35" s="17">
        <f aca="true" t="shared" si="20" ref="H35:H60">F35*AE35</f>
        <v>0</v>
      </c>
      <c r="I35" s="17">
        <f aca="true" t="shared" si="21" ref="I35:I60">J35-H35</f>
        <v>0</v>
      </c>
      <c r="J35" s="17">
        <f aca="true" t="shared" si="22" ref="J35:J60">F35*G35</f>
        <v>0</v>
      </c>
      <c r="K35" s="17">
        <v>0.00014</v>
      </c>
      <c r="L35" s="17">
        <f aca="true" t="shared" si="23" ref="L35:L60">F35*K35</f>
        <v>0.0231</v>
      </c>
      <c r="M35" s="29" t="s">
        <v>324</v>
      </c>
      <c r="P35" s="34">
        <f aca="true" t="shared" si="24" ref="P35:P60">IF(AG35="5",J35,0)</f>
        <v>0</v>
      </c>
      <c r="R35" s="34">
        <f aca="true" t="shared" si="25" ref="R35:R60">IF(AG35="1",H35,0)</f>
        <v>0</v>
      </c>
      <c r="S35" s="34">
        <f aca="true" t="shared" si="26" ref="S35:S60">IF(AG35="1",I35,0)</f>
        <v>0</v>
      </c>
      <c r="T35" s="34">
        <f aca="true" t="shared" si="27" ref="T35:T60">IF(AG35="7",H35,0)</f>
        <v>0</v>
      </c>
      <c r="U35" s="34">
        <f aca="true" t="shared" si="28" ref="U35:U60">IF(AG35="7",I35,0)</f>
        <v>0</v>
      </c>
      <c r="V35" s="34">
        <f aca="true" t="shared" si="29" ref="V35:V60">IF(AG35="2",H35,0)</f>
        <v>0</v>
      </c>
      <c r="W35" s="34">
        <f aca="true" t="shared" si="30" ref="W35:W60">IF(AG35="2",I35,0)</f>
        <v>0</v>
      </c>
      <c r="X35" s="34">
        <f aca="true" t="shared" si="31" ref="X35:X60">IF(AG35="0",J35,0)</f>
        <v>0</v>
      </c>
      <c r="Y35" s="26"/>
      <c r="Z35" s="17">
        <f aca="true" t="shared" si="32" ref="Z35:Z60">IF(AD35=0,J35,0)</f>
        <v>0</v>
      </c>
      <c r="AA35" s="17">
        <f aca="true" t="shared" si="33" ref="AA35:AA60">IF(AD35=15,J35,0)</f>
        <v>0</v>
      </c>
      <c r="AB35" s="17">
        <f aca="true" t="shared" si="34" ref="AB35:AB60">IF(AD35=21,J35,0)</f>
        <v>0</v>
      </c>
      <c r="AD35" s="34">
        <v>21</v>
      </c>
      <c r="AE35" s="34">
        <f>G35*0.909193235795896</f>
        <v>0</v>
      </c>
      <c r="AF35" s="34">
        <f>G35*(1-0.909193235795896)</f>
        <v>0</v>
      </c>
      <c r="AG35" s="29" t="s">
        <v>13</v>
      </c>
      <c r="AM35" s="34">
        <f aca="true" t="shared" si="35" ref="AM35:AM60">F35*AE35</f>
        <v>0</v>
      </c>
      <c r="AN35" s="34">
        <f aca="true" t="shared" si="36" ref="AN35:AN60">F35*AF35</f>
        <v>0</v>
      </c>
      <c r="AO35" s="35" t="s">
        <v>336</v>
      </c>
      <c r="AP35" s="35" t="s">
        <v>344</v>
      </c>
      <c r="AQ35" s="26" t="s">
        <v>346</v>
      </c>
      <c r="AS35" s="34">
        <f aca="true" t="shared" si="37" ref="AS35:AS60">AM35+AN35</f>
        <v>0</v>
      </c>
      <c r="AT35" s="34">
        <f aca="true" t="shared" si="38" ref="AT35:AT60">G35/(100-AU35)*100</f>
        <v>0</v>
      </c>
      <c r="AU35" s="34">
        <v>0</v>
      </c>
      <c r="AV35" s="34">
        <f aca="true" t="shared" si="39" ref="AV35:AV60">L35</f>
        <v>0.0231</v>
      </c>
    </row>
    <row r="36" spans="1:48" ht="12.75">
      <c r="A36" s="4" t="s">
        <v>28</v>
      </c>
      <c r="B36" s="4"/>
      <c r="C36" s="4" t="s">
        <v>122</v>
      </c>
      <c r="D36" s="4" t="s">
        <v>220</v>
      </c>
      <c r="E36" s="4" t="s">
        <v>295</v>
      </c>
      <c r="F36" s="17">
        <v>165</v>
      </c>
      <c r="G36" s="17">
        <v>0</v>
      </c>
      <c r="H36" s="17">
        <f t="shared" si="20"/>
        <v>0</v>
      </c>
      <c r="I36" s="17">
        <f t="shared" si="21"/>
        <v>0</v>
      </c>
      <c r="J36" s="17">
        <f t="shared" si="22"/>
        <v>0</v>
      </c>
      <c r="K36" s="17">
        <v>0.0002</v>
      </c>
      <c r="L36" s="17">
        <f t="shared" si="23"/>
        <v>0.033</v>
      </c>
      <c r="M36" s="29" t="s">
        <v>324</v>
      </c>
      <c r="P36" s="34">
        <f t="shared" si="24"/>
        <v>0</v>
      </c>
      <c r="R36" s="34">
        <f t="shared" si="25"/>
        <v>0</v>
      </c>
      <c r="S36" s="34">
        <f t="shared" si="26"/>
        <v>0</v>
      </c>
      <c r="T36" s="34">
        <f t="shared" si="27"/>
        <v>0</v>
      </c>
      <c r="U36" s="34">
        <f t="shared" si="28"/>
        <v>0</v>
      </c>
      <c r="V36" s="34">
        <f t="shared" si="29"/>
        <v>0</v>
      </c>
      <c r="W36" s="34">
        <f t="shared" si="30"/>
        <v>0</v>
      </c>
      <c r="X36" s="34">
        <f t="shared" si="31"/>
        <v>0</v>
      </c>
      <c r="Y36" s="26"/>
      <c r="Z36" s="17">
        <f t="shared" si="32"/>
        <v>0</v>
      </c>
      <c r="AA36" s="17">
        <f t="shared" si="33"/>
        <v>0</v>
      </c>
      <c r="AB36" s="17">
        <f t="shared" si="34"/>
        <v>0</v>
      </c>
      <c r="AD36" s="34">
        <v>21</v>
      </c>
      <c r="AE36" s="34">
        <f>G36*0.849408099688474</f>
        <v>0</v>
      </c>
      <c r="AF36" s="34">
        <f>G36*(1-0.849408099688474)</f>
        <v>0</v>
      </c>
      <c r="AG36" s="29" t="s">
        <v>13</v>
      </c>
      <c r="AM36" s="34">
        <f t="shared" si="35"/>
        <v>0</v>
      </c>
      <c r="AN36" s="34">
        <f t="shared" si="36"/>
        <v>0</v>
      </c>
      <c r="AO36" s="35" t="s">
        <v>336</v>
      </c>
      <c r="AP36" s="35" t="s">
        <v>344</v>
      </c>
      <c r="AQ36" s="26" t="s">
        <v>346</v>
      </c>
      <c r="AS36" s="34">
        <f t="shared" si="37"/>
        <v>0</v>
      </c>
      <c r="AT36" s="34">
        <f t="shared" si="38"/>
        <v>0</v>
      </c>
      <c r="AU36" s="34">
        <v>0</v>
      </c>
      <c r="AV36" s="34">
        <f t="shared" si="39"/>
        <v>0.033</v>
      </c>
    </row>
    <row r="37" spans="1:48" ht="12.75">
      <c r="A37" s="4" t="s">
        <v>29</v>
      </c>
      <c r="B37" s="4"/>
      <c r="C37" s="4" t="s">
        <v>123</v>
      </c>
      <c r="D37" s="4" t="s">
        <v>221</v>
      </c>
      <c r="E37" s="4" t="s">
        <v>295</v>
      </c>
      <c r="F37" s="17">
        <v>330</v>
      </c>
      <c r="G37" s="17">
        <v>0</v>
      </c>
      <c r="H37" s="17">
        <f t="shared" si="20"/>
        <v>0</v>
      </c>
      <c r="I37" s="17">
        <f t="shared" si="21"/>
        <v>0</v>
      </c>
      <c r="J37" s="17">
        <f t="shared" si="22"/>
        <v>0</v>
      </c>
      <c r="K37" s="17">
        <v>0.00054</v>
      </c>
      <c r="L37" s="17">
        <f t="shared" si="23"/>
        <v>0.1782</v>
      </c>
      <c r="M37" s="29" t="s">
        <v>324</v>
      </c>
      <c r="P37" s="34">
        <f t="shared" si="24"/>
        <v>0</v>
      </c>
      <c r="R37" s="34">
        <f t="shared" si="25"/>
        <v>0</v>
      </c>
      <c r="S37" s="34">
        <f t="shared" si="26"/>
        <v>0</v>
      </c>
      <c r="T37" s="34">
        <f t="shared" si="27"/>
        <v>0</v>
      </c>
      <c r="U37" s="34">
        <f t="shared" si="28"/>
        <v>0</v>
      </c>
      <c r="V37" s="34">
        <f t="shared" si="29"/>
        <v>0</v>
      </c>
      <c r="W37" s="34">
        <f t="shared" si="30"/>
        <v>0</v>
      </c>
      <c r="X37" s="34">
        <f t="shared" si="31"/>
        <v>0</v>
      </c>
      <c r="Y37" s="26"/>
      <c r="Z37" s="17">
        <f t="shared" si="32"/>
        <v>0</v>
      </c>
      <c r="AA37" s="17">
        <f t="shared" si="33"/>
        <v>0</v>
      </c>
      <c r="AB37" s="17">
        <f t="shared" si="34"/>
        <v>0</v>
      </c>
      <c r="AD37" s="34">
        <v>21</v>
      </c>
      <c r="AE37" s="34">
        <f>G37*0.233997509339975</f>
        <v>0</v>
      </c>
      <c r="AF37" s="34">
        <f>G37*(1-0.233997509339975)</f>
        <v>0</v>
      </c>
      <c r="AG37" s="29" t="s">
        <v>13</v>
      </c>
      <c r="AM37" s="34">
        <f t="shared" si="35"/>
        <v>0</v>
      </c>
      <c r="AN37" s="34">
        <f t="shared" si="36"/>
        <v>0</v>
      </c>
      <c r="AO37" s="35" t="s">
        <v>336</v>
      </c>
      <c r="AP37" s="35" t="s">
        <v>344</v>
      </c>
      <c r="AQ37" s="26" t="s">
        <v>346</v>
      </c>
      <c r="AS37" s="34">
        <f t="shared" si="37"/>
        <v>0</v>
      </c>
      <c r="AT37" s="34">
        <f t="shared" si="38"/>
        <v>0</v>
      </c>
      <c r="AU37" s="34">
        <v>0</v>
      </c>
      <c r="AV37" s="34">
        <f t="shared" si="39"/>
        <v>0.1782</v>
      </c>
    </row>
    <row r="38" spans="1:48" ht="12.75">
      <c r="A38" s="4" t="s">
        <v>30</v>
      </c>
      <c r="B38" s="4"/>
      <c r="C38" s="4" t="s">
        <v>124</v>
      </c>
      <c r="D38" s="4" t="s">
        <v>222</v>
      </c>
      <c r="E38" s="4" t="s">
        <v>295</v>
      </c>
      <c r="F38" s="17">
        <v>330</v>
      </c>
      <c r="G38" s="17">
        <v>0</v>
      </c>
      <c r="H38" s="17">
        <f t="shared" si="20"/>
        <v>0</v>
      </c>
      <c r="I38" s="17">
        <f t="shared" si="21"/>
        <v>0</v>
      </c>
      <c r="J38" s="17">
        <f t="shared" si="22"/>
        <v>0</v>
      </c>
      <c r="K38" s="17">
        <v>6E-05</v>
      </c>
      <c r="L38" s="17">
        <f t="shared" si="23"/>
        <v>0.0198</v>
      </c>
      <c r="M38" s="29" t="s">
        <v>324</v>
      </c>
      <c r="P38" s="34">
        <f t="shared" si="24"/>
        <v>0</v>
      </c>
      <c r="R38" s="34">
        <f t="shared" si="25"/>
        <v>0</v>
      </c>
      <c r="S38" s="34">
        <f t="shared" si="26"/>
        <v>0</v>
      </c>
      <c r="T38" s="34">
        <f t="shared" si="27"/>
        <v>0</v>
      </c>
      <c r="U38" s="34">
        <f t="shared" si="28"/>
        <v>0</v>
      </c>
      <c r="V38" s="34">
        <f t="shared" si="29"/>
        <v>0</v>
      </c>
      <c r="W38" s="34">
        <f t="shared" si="30"/>
        <v>0</v>
      </c>
      <c r="X38" s="34">
        <f t="shared" si="31"/>
        <v>0</v>
      </c>
      <c r="Y38" s="26"/>
      <c r="Z38" s="17">
        <f t="shared" si="32"/>
        <v>0</v>
      </c>
      <c r="AA38" s="17">
        <f t="shared" si="33"/>
        <v>0</v>
      </c>
      <c r="AB38" s="17">
        <f t="shared" si="34"/>
        <v>0</v>
      </c>
      <c r="AD38" s="34">
        <v>21</v>
      </c>
      <c r="AE38" s="34">
        <f>G38*0.733366336633663</f>
        <v>0</v>
      </c>
      <c r="AF38" s="34">
        <f>G38*(1-0.733366336633663)</f>
        <v>0</v>
      </c>
      <c r="AG38" s="29" t="s">
        <v>13</v>
      </c>
      <c r="AM38" s="34">
        <f t="shared" si="35"/>
        <v>0</v>
      </c>
      <c r="AN38" s="34">
        <f t="shared" si="36"/>
        <v>0</v>
      </c>
      <c r="AO38" s="35" t="s">
        <v>336</v>
      </c>
      <c r="AP38" s="35" t="s">
        <v>344</v>
      </c>
      <c r="AQ38" s="26" t="s">
        <v>346</v>
      </c>
      <c r="AS38" s="34">
        <f t="shared" si="37"/>
        <v>0</v>
      </c>
      <c r="AT38" s="34">
        <f t="shared" si="38"/>
        <v>0</v>
      </c>
      <c r="AU38" s="34">
        <v>0</v>
      </c>
      <c r="AV38" s="34">
        <f t="shared" si="39"/>
        <v>0.0198</v>
      </c>
    </row>
    <row r="39" spans="1:48" ht="12.75">
      <c r="A39" s="4" t="s">
        <v>31</v>
      </c>
      <c r="B39" s="4"/>
      <c r="C39" s="4" t="s">
        <v>125</v>
      </c>
      <c r="D39" s="4" t="s">
        <v>223</v>
      </c>
      <c r="E39" s="4" t="s">
        <v>295</v>
      </c>
      <c r="F39" s="17">
        <v>165</v>
      </c>
      <c r="G39" s="17">
        <v>0</v>
      </c>
      <c r="H39" s="17">
        <f t="shared" si="20"/>
        <v>0</v>
      </c>
      <c r="I39" s="17">
        <f t="shared" si="21"/>
        <v>0</v>
      </c>
      <c r="J39" s="17">
        <f t="shared" si="22"/>
        <v>0</v>
      </c>
      <c r="K39" s="17">
        <v>0.00026</v>
      </c>
      <c r="L39" s="17">
        <f t="shared" si="23"/>
        <v>0.042899999999999994</v>
      </c>
      <c r="M39" s="29" t="s">
        <v>324</v>
      </c>
      <c r="P39" s="34">
        <f t="shared" si="24"/>
        <v>0</v>
      </c>
      <c r="R39" s="34">
        <f t="shared" si="25"/>
        <v>0</v>
      </c>
      <c r="S39" s="34">
        <f t="shared" si="26"/>
        <v>0</v>
      </c>
      <c r="T39" s="34">
        <f t="shared" si="27"/>
        <v>0</v>
      </c>
      <c r="U39" s="34">
        <f t="shared" si="28"/>
        <v>0</v>
      </c>
      <c r="V39" s="34">
        <f t="shared" si="29"/>
        <v>0</v>
      </c>
      <c r="W39" s="34">
        <f t="shared" si="30"/>
        <v>0</v>
      </c>
      <c r="X39" s="34">
        <f t="shared" si="31"/>
        <v>0</v>
      </c>
      <c r="Y39" s="26"/>
      <c r="Z39" s="17">
        <f t="shared" si="32"/>
        <v>0</v>
      </c>
      <c r="AA39" s="17">
        <f t="shared" si="33"/>
        <v>0</v>
      </c>
      <c r="AB39" s="17">
        <f t="shared" si="34"/>
        <v>0</v>
      </c>
      <c r="AD39" s="34">
        <v>21</v>
      </c>
      <c r="AE39" s="34">
        <f>G39*0.887113384937377</f>
        <v>0</v>
      </c>
      <c r="AF39" s="34">
        <f>G39*(1-0.887113384937377)</f>
        <v>0</v>
      </c>
      <c r="AG39" s="29" t="s">
        <v>13</v>
      </c>
      <c r="AM39" s="34">
        <f t="shared" si="35"/>
        <v>0</v>
      </c>
      <c r="AN39" s="34">
        <f t="shared" si="36"/>
        <v>0</v>
      </c>
      <c r="AO39" s="35" t="s">
        <v>336</v>
      </c>
      <c r="AP39" s="35" t="s">
        <v>344</v>
      </c>
      <c r="AQ39" s="26" t="s">
        <v>346</v>
      </c>
      <c r="AS39" s="34">
        <f t="shared" si="37"/>
        <v>0</v>
      </c>
      <c r="AT39" s="34">
        <f t="shared" si="38"/>
        <v>0</v>
      </c>
      <c r="AU39" s="34">
        <v>0</v>
      </c>
      <c r="AV39" s="34">
        <f t="shared" si="39"/>
        <v>0.042899999999999994</v>
      </c>
    </row>
    <row r="40" spans="1:48" ht="12.75">
      <c r="A40" s="4" t="s">
        <v>32</v>
      </c>
      <c r="B40" s="4"/>
      <c r="C40" s="4" t="s">
        <v>126</v>
      </c>
      <c r="D40" s="4" t="s">
        <v>224</v>
      </c>
      <c r="E40" s="4" t="s">
        <v>295</v>
      </c>
      <c r="F40" s="17">
        <v>2</v>
      </c>
      <c r="G40" s="17">
        <v>0</v>
      </c>
      <c r="H40" s="17">
        <f t="shared" si="20"/>
        <v>0</v>
      </c>
      <c r="I40" s="17">
        <f t="shared" si="21"/>
        <v>0</v>
      </c>
      <c r="J40" s="17">
        <f t="shared" si="22"/>
        <v>0</v>
      </c>
      <c r="K40" s="17">
        <v>6E-05</v>
      </c>
      <c r="L40" s="17">
        <f t="shared" si="23"/>
        <v>0.00012</v>
      </c>
      <c r="M40" s="29" t="s">
        <v>324</v>
      </c>
      <c r="P40" s="34">
        <f t="shared" si="24"/>
        <v>0</v>
      </c>
      <c r="R40" s="34">
        <f t="shared" si="25"/>
        <v>0</v>
      </c>
      <c r="S40" s="34">
        <f t="shared" si="26"/>
        <v>0</v>
      </c>
      <c r="T40" s="34">
        <f t="shared" si="27"/>
        <v>0</v>
      </c>
      <c r="U40" s="34">
        <f t="shared" si="28"/>
        <v>0</v>
      </c>
      <c r="V40" s="34">
        <f t="shared" si="29"/>
        <v>0</v>
      </c>
      <c r="W40" s="34">
        <f t="shared" si="30"/>
        <v>0</v>
      </c>
      <c r="X40" s="34">
        <f t="shared" si="31"/>
        <v>0</v>
      </c>
      <c r="Y40" s="26"/>
      <c r="Z40" s="17">
        <f t="shared" si="32"/>
        <v>0</v>
      </c>
      <c r="AA40" s="17">
        <f t="shared" si="33"/>
        <v>0</v>
      </c>
      <c r="AB40" s="17">
        <f t="shared" si="34"/>
        <v>0</v>
      </c>
      <c r="AD40" s="34">
        <v>21</v>
      </c>
      <c r="AE40" s="34">
        <f>G40*0.718446601941748</f>
        <v>0</v>
      </c>
      <c r="AF40" s="34">
        <f>G40*(1-0.718446601941748)</f>
        <v>0</v>
      </c>
      <c r="AG40" s="29" t="s">
        <v>13</v>
      </c>
      <c r="AM40" s="34">
        <f t="shared" si="35"/>
        <v>0</v>
      </c>
      <c r="AN40" s="34">
        <f t="shared" si="36"/>
        <v>0</v>
      </c>
      <c r="AO40" s="35" t="s">
        <v>336</v>
      </c>
      <c r="AP40" s="35" t="s">
        <v>344</v>
      </c>
      <c r="AQ40" s="26" t="s">
        <v>346</v>
      </c>
      <c r="AS40" s="34">
        <f t="shared" si="37"/>
        <v>0</v>
      </c>
      <c r="AT40" s="34">
        <f t="shared" si="38"/>
        <v>0</v>
      </c>
      <c r="AU40" s="34">
        <v>0</v>
      </c>
      <c r="AV40" s="34">
        <f t="shared" si="39"/>
        <v>0.00012</v>
      </c>
    </row>
    <row r="41" spans="1:48" ht="12.75">
      <c r="A41" s="4" t="s">
        <v>33</v>
      </c>
      <c r="B41" s="4"/>
      <c r="C41" s="4" t="s">
        <v>127</v>
      </c>
      <c r="D41" s="4" t="s">
        <v>225</v>
      </c>
      <c r="E41" s="4" t="s">
        <v>295</v>
      </c>
      <c r="F41" s="17">
        <v>330</v>
      </c>
      <c r="G41" s="17">
        <v>0</v>
      </c>
      <c r="H41" s="17">
        <f t="shared" si="20"/>
        <v>0</v>
      </c>
      <c r="I41" s="17">
        <f t="shared" si="21"/>
        <v>0</v>
      </c>
      <c r="J41" s="17">
        <f t="shared" si="22"/>
        <v>0</v>
      </c>
      <c r="K41" s="17">
        <v>0.00123</v>
      </c>
      <c r="L41" s="17">
        <f t="shared" si="23"/>
        <v>0.4059</v>
      </c>
      <c r="M41" s="29" t="s">
        <v>324</v>
      </c>
      <c r="P41" s="34">
        <f t="shared" si="24"/>
        <v>0</v>
      </c>
      <c r="R41" s="34">
        <f t="shared" si="25"/>
        <v>0</v>
      </c>
      <c r="S41" s="34">
        <f t="shared" si="26"/>
        <v>0</v>
      </c>
      <c r="T41" s="34">
        <f t="shared" si="27"/>
        <v>0</v>
      </c>
      <c r="U41" s="34">
        <f t="shared" si="28"/>
        <v>0</v>
      </c>
      <c r="V41" s="34">
        <f t="shared" si="29"/>
        <v>0</v>
      </c>
      <c r="W41" s="34">
        <f t="shared" si="30"/>
        <v>0</v>
      </c>
      <c r="X41" s="34">
        <f t="shared" si="31"/>
        <v>0</v>
      </c>
      <c r="Y41" s="26"/>
      <c r="Z41" s="17">
        <f t="shared" si="32"/>
        <v>0</v>
      </c>
      <c r="AA41" s="17">
        <f t="shared" si="33"/>
        <v>0</v>
      </c>
      <c r="AB41" s="17">
        <f t="shared" si="34"/>
        <v>0</v>
      </c>
      <c r="AD41" s="34">
        <v>21</v>
      </c>
      <c r="AE41" s="34">
        <f>G41*0.237456085037384</f>
        <v>0</v>
      </c>
      <c r="AF41" s="34">
        <f>G41*(1-0.237456085037384)</f>
        <v>0</v>
      </c>
      <c r="AG41" s="29" t="s">
        <v>13</v>
      </c>
      <c r="AM41" s="34">
        <f t="shared" si="35"/>
        <v>0</v>
      </c>
      <c r="AN41" s="34">
        <f t="shared" si="36"/>
        <v>0</v>
      </c>
      <c r="AO41" s="35" t="s">
        <v>336</v>
      </c>
      <c r="AP41" s="35" t="s">
        <v>344</v>
      </c>
      <c r="AQ41" s="26" t="s">
        <v>346</v>
      </c>
      <c r="AS41" s="34">
        <f t="shared" si="37"/>
        <v>0</v>
      </c>
      <c r="AT41" s="34">
        <f t="shared" si="38"/>
        <v>0</v>
      </c>
      <c r="AU41" s="34">
        <v>0</v>
      </c>
      <c r="AV41" s="34">
        <f t="shared" si="39"/>
        <v>0.4059</v>
      </c>
    </row>
    <row r="42" spans="1:48" ht="12.75">
      <c r="A42" s="4" t="s">
        <v>34</v>
      </c>
      <c r="B42" s="4"/>
      <c r="C42" s="4" t="s">
        <v>128</v>
      </c>
      <c r="D42" s="4" t="s">
        <v>226</v>
      </c>
      <c r="E42" s="4" t="s">
        <v>295</v>
      </c>
      <c r="F42" s="17">
        <v>20</v>
      </c>
      <c r="G42" s="17">
        <v>0</v>
      </c>
      <c r="H42" s="17">
        <f t="shared" si="20"/>
        <v>0</v>
      </c>
      <c r="I42" s="17">
        <f t="shared" si="21"/>
        <v>0</v>
      </c>
      <c r="J42" s="17">
        <f t="shared" si="22"/>
        <v>0</v>
      </c>
      <c r="K42" s="17">
        <v>0.00513</v>
      </c>
      <c r="L42" s="17">
        <f t="shared" si="23"/>
        <v>0.1026</v>
      </c>
      <c r="M42" s="29" t="s">
        <v>324</v>
      </c>
      <c r="P42" s="34">
        <f t="shared" si="24"/>
        <v>0</v>
      </c>
      <c r="R42" s="34">
        <f t="shared" si="25"/>
        <v>0</v>
      </c>
      <c r="S42" s="34">
        <f t="shared" si="26"/>
        <v>0</v>
      </c>
      <c r="T42" s="34">
        <f t="shared" si="27"/>
        <v>0</v>
      </c>
      <c r="U42" s="34">
        <f t="shared" si="28"/>
        <v>0</v>
      </c>
      <c r="V42" s="34">
        <f t="shared" si="29"/>
        <v>0</v>
      </c>
      <c r="W42" s="34">
        <f t="shared" si="30"/>
        <v>0</v>
      </c>
      <c r="X42" s="34">
        <f t="shared" si="31"/>
        <v>0</v>
      </c>
      <c r="Y42" s="26"/>
      <c r="Z42" s="17">
        <f t="shared" si="32"/>
        <v>0</v>
      </c>
      <c r="AA42" s="17">
        <f t="shared" si="33"/>
        <v>0</v>
      </c>
      <c r="AB42" s="17">
        <f t="shared" si="34"/>
        <v>0</v>
      </c>
      <c r="AD42" s="34">
        <v>21</v>
      </c>
      <c r="AE42" s="34">
        <f>G42*0.131475409836066</f>
        <v>0</v>
      </c>
      <c r="AF42" s="34">
        <f>G42*(1-0.131475409836066)</f>
        <v>0</v>
      </c>
      <c r="AG42" s="29" t="s">
        <v>13</v>
      </c>
      <c r="AM42" s="34">
        <f t="shared" si="35"/>
        <v>0</v>
      </c>
      <c r="AN42" s="34">
        <f t="shared" si="36"/>
        <v>0</v>
      </c>
      <c r="AO42" s="35" t="s">
        <v>336</v>
      </c>
      <c r="AP42" s="35" t="s">
        <v>344</v>
      </c>
      <c r="AQ42" s="26" t="s">
        <v>346</v>
      </c>
      <c r="AS42" s="34">
        <f t="shared" si="37"/>
        <v>0</v>
      </c>
      <c r="AT42" s="34">
        <f t="shared" si="38"/>
        <v>0</v>
      </c>
      <c r="AU42" s="34">
        <v>0</v>
      </c>
      <c r="AV42" s="34">
        <f t="shared" si="39"/>
        <v>0.1026</v>
      </c>
    </row>
    <row r="43" spans="1:48" ht="12.75">
      <c r="A43" s="4" t="s">
        <v>35</v>
      </c>
      <c r="B43" s="4"/>
      <c r="C43" s="4" t="s">
        <v>129</v>
      </c>
      <c r="D43" s="4" t="s">
        <v>227</v>
      </c>
      <c r="E43" s="4" t="s">
        <v>295</v>
      </c>
      <c r="F43" s="17">
        <v>10</v>
      </c>
      <c r="G43" s="17">
        <v>0</v>
      </c>
      <c r="H43" s="17">
        <f t="shared" si="20"/>
        <v>0</v>
      </c>
      <c r="I43" s="17">
        <f t="shared" si="21"/>
        <v>0</v>
      </c>
      <c r="J43" s="17">
        <f t="shared" si="22"/>
        <v>0</v>
      </c>
      <c r="K43" s="17">
        <v>8E-05</v>
      </c>
      <c r="L43" s="17">
        <f t="shared" si="23"/>
        <v>0.0008</v>
      </c>
      <c r="M43" s="29" t="s">
        <v>324</v>
      </c>
      <c r="P43" s="34">
        <f t="shared" si="24"/>
        <v>0</v>
      </c>
      <c r="R43" s="34">
        <f t="shared" si="25"/>
        <v>0</v>
      </c>
      <c r="S43" s="34">
        <f t="shared" si="26"/>
        <v>0</v>
      </c>
      <c r="T43" s="34">
        <f t="shared" si="27"/>
        <v>0</v>
      </c>
      <c r="U43" s="34">
        <f t="shared" si="28"/>
        <v>0</v>
      </c>
      <c r="V43" s="34">
        <f t="shared" si="29"/>
        <v>0</v>
      </c>
      <c r="W43" s="34">
        <f t="shared" si="30"/>
        <v>0</v>
      </c>
      <c r="X43" s="34">
        <f t="shared" si="31"/>
        <v>0</v>
      </c>
      <c r="Y43" s="26"/>
      <c r="Z43" s="17">
        <f t="shared" si="32"/>
        <v>0</v>
      </c>
      <c r="AA43" s="17">
        <f t="shared" si="33"/>
        <v>0</v>
      </c>
      <c r="AB43" s="17">
        <f t="shared" si="34"/>
        <v>0</v>
      </c>
      <c r="AD43" s="34">
        <v>21</v>
      </c>
      <c r="AE43" s="34">
        <f>G43*0.850141843971631</f>
        <v>0</v>
      </c>
      <c r="AF43" s="34">
        <f>G43*(1-0.850141843971631)</f>
        <v>0</v>
      </c>
      <c r="AG43" s="29" t="s">
        <v>13</v>
      </c>
      <c r="AM43" s="34">
        <f t="shared" si="35"/>
        <v>0</v>
      </c>
      <c r="AN43" s="34">
        <f t="shared" si="36"/>
        <v>0</v>
      </c>
      <c r="AO43" s="35" t="s">
        <v>336</v>
      </c>
      <c r="AP43" s="35" t="s">
        <v>344</v>
      </c>
      <c r="AQ43" s="26" t="s">
        <v>346</v>
      </c>
      <c r="AS43" s="34">
        <f t="shared" si="37"/>
        <v>0</v>
      </c>
      <c r="AT43" s="34">
        <f t="shared" si="38"/>
        <v>0</v>
      </c>
      <c r="AU43" s="34">
        <v>0</v>
      </c>
      <c r="AV43" s="34">
        <f t="shared" si="39"/>
        <v>0.0008</v>
      </c>
    </row>
    <row r="44" spans="1:48" ht="12.75">
      <c r="A44" s="4" t="s">
        <v>36</v>
      </c>
      <c r="B44" s="4"/>
      <c r="C44" s="4" t="s">
        <v>130</v>
      </c>
      <c r="D44" s="4" t="s">
        <v>228</v>
      </c>
      <c r="E44" s="4" t="s">
        <v>295</v>
      </c>
      <c r="F44" s="17">
        <v>12</v>
      </c>
      <c r="G44" s="17">
        <v>0</v>
      </c>
      <c r="H44" s="17">
        <f t="shared" si="20"/>
        <v>0</v>
      </c>
      <c r="I44" s="17">
        <f t="shared" si="21"/>
        <v>0</v>
      </c>
      <c r="J44" s="17">
        <f t="shared" si="22"/>
        <v>0</v>
      </c>
      <c r="K44" s="17">
        <v>0</v>
      </c>
      <c r="L44" s="17">
        <f t="shared" si="23"/>
        <v>0</v>
      </c>
      <c r="M44" s="29" t="s">
        <v>324</v>
      </c>
      <c r="P44" s="34">
        <f t="shared" si="24"/>
        <v>0</v>
      </c>
      <c r="R44" s="34">
        <f t="shared" si="25"/>
        <v>0</v>
      </c>
      <c r="S44" s="34">
        <f t="shared" si="26"/>
        <v>0</v>
      </c>
      <c r="T44" s="34">
        <f t="shared" si="27"/>
        <v>0</v>
      </c>
      <c r="U44" s="34">
        <f t="shared" si="28"/>
        <v>0</v>
      </c>
      <c r="V44" s="34">
        <f t="shared" si="29"/>
        <v>0</v>
      </c>
      <c r="W44" s="34">
        <f t="shared" si="30"/>
        <v>0</v>
      </c>
      <c r="X44" s="34">
        <f t="shared" si="31"/>
        <v>0</v>
      </c>
      <c r="Y44" s="26"/>
      <c r="Z44" s="17">
        <f t="shared" si="32"/>
        <v>0</v>
      </c>
      <c r="AA44" s="17">
        <f t="shared" si="33"/>
        <v>0</v>
      </c>
      <c r="AB44" s="17">
        <f t="shared" si="34"/>
        <v>0</v>
      </c>
      <c r="AD44" s="34">
        <v>21</v>
      </c>
      <c r="AE44" s="34">
        <f>G44*0.0470013947001395</f>
        <v>0</v>
      </c>
      <c r="AF44" s="34">
        <f>G44*(1-0.0470013947001395)</f>
        <v>0</v>
      </c>
      <c r="AG44" s="29" t="s">
        <v>13</v>
      </c>
      <c r="AM44" s="34">
        <f t="shared" si="35"/>
        <v>0</v>
      </c>
      <c r="AN44" s="34">
        <f t="shared" si="36"/>
        <v>0</v>
      </c>
      <c r="AO44" s="35" t="s">
        <v>336</v>
      </c>
      <c r="AP44" s="35" t="s">
        <v>344</v>
      </c>
      <c r="AQ44" s="26" t="s">
        <v>346</v>
      </c>
      <c r="AS44" s="34">
        <f t="shared" si="37"/>
        <v>0</v>
      </c>
      <c r="AT44" s="34">
        <f t="shared" si="38"/>
        <v>0</v>
      </c>
      <c r="AU44" s="34">
        <v>0</v>
      </c>
      <c r="AV44" s="34">
        <f t="shared" si="39"/>
        <v>0</v>
      </c>
    </row>
    <row r="45" spans="1:48" ht="12.75">
      <c r="A45" s="6" t="s">
        <v>37</v>
      </c>
      <c r="B45" s="6"/>
      <c r="C45" s="6" t="s">
        <v>131</v>
      </c>
      <c r="D45" s="6" t="s">
        <v>229</v>
      </c>
      <c r="E45" s="6" t="s">
        <v>297</v>
      </c>
      <c r="F45" s="18">
        <v>5</v>
      </c>
      <c r="G45" s="18">
        <v>0</v>
      </c>
      <c r="H45" s="18">
        <f t="shared" si="20"/>
        <v>0</v>
      </c>
      <c r="I45" s="18">
        <f t="shared" si="21"/>
        <v>0</v>
      </c>
      <c r="J45" s="18">
        <f t="shared" si="22"/>
        <v>0</v>
      </c>
      <c r="K45" s="18">
        <v>0</v>
      </c>
      <c r="L45" s="18">
        <f t="shared" si="23"/>
        <v>0</v>
      </c>
      <c r="M45" s="30" t="s">
        <v>324</v>
      </c>
      <c r="P45" s="34">
        <f t="shared" si="24"/>
        <v>0</v>
      </c>
      <c r="R45" s="34">
        <f t="shared" si="25"/>
        <v>0</v>
      </c>
      <c r="S45" s="34">
        <f t="shared" si="26"/>
        <v>0</v>
      </c>
      <c r="T45" s="34">
        <f t="shared" si="27"/>
        <v>0</v>
      </c>
      <c r="U45" s="34">
        <f t="shared" si="28"/>
        <v>0</v>
      </c>
      <c r="V45" s="34">
        <f t="shared" si="29"/>
        <v>0</v>
      </c>
      <c r="W45" s="34">
        <f t="shared" si="30"/>
        <v>0</v>
      </c>
      <c r="X45" s="34">
        <f t="shared" si="31"/>
        <v>0</v>
      </c>
      <c r="Y45" s="26"/>
      <c r="Z45" s="18">
        <f t="shared" si="32"/>
        <v>0</v>
      </c>
      <c r="AA45" s="18">
        <f t="shared" si="33"/>
        <v>0</v>
      </c>
      <c r="AB45" s="18">
        <f t="shared" si="34"/>
        <v>0</v>
      </c>
      <c r="AD45" s="34">
        <v>21</v>
      </c>
      <c r="AE45" s="34">
        <f>G45*1</f>
        <v>0</v>
      </c>
      <c r="AF45" s="34">
        <f>G45*(1-1)</f>
        <v>0</v>
      </c>
      <c r="AG45" s="30" t="s">
        <v>13</v>
      </c>
      <c r="AM45" s="34">
        <f t="shared" si="35"/>
        <v>0</v>
      </c>
      <c r="AN45" s="34">
        <f t="shared" si="36"/>
        <v>0</v>
      </c>
      <c r="AO45" s="35" t="s">
        <v>336</v>
      </c>
      <c r="AP45" s="35" t="s">
        <v>344</v>
      </c>
      <c r="AQ45" s="26" t="s">
        <v>346</v>
      </c>
      <c r="AS45" s="34">
        <f t="shared" si="37"/>
        <v>0</v>
      </c>
      <c r="AT45" s="34">
        <f t="shared" si="38"/>
        <v>0</v>
      </c>
      <c r="AU45" s="34">
        <v>0</v>
      </c>
      <c r="AV45" s="34">
        <f t="shared" si="39"/>
        <v>0</v>
      </c>
    </row>
    <row r="46" spans="1:48" ht="12.75">
      <c r="A46" s="6" t="s">
        <v>38</v>
      </c>
      <c r="B46" s="6"/>
      <c r="C46" s="6" t="s">
        <v>132</v>
      </c>
      <c r="D46" s="6" t="s">
        <v>230</v>
      </c>
      <c r="E46" s="6" t="s">
        <v>297</v>
      </c>
      <c r="F46" s="18">
        <v>7</v>
      </c>
      <c r="G46" s="18">
        <v>0</v>
      </c>
      <c r="H46" s="18">
        <f t="shared" si="20"/>
        <v>0</v>
      </c>
      <c r="I46" s="18">
        <f t="shared" si="21"/>
        <v>0</v>
      </c>
      <c r="J46" s="18">
        <f t="shared" si="22"/>
        <v>0</v>
      </c>
      <c r="K46" s="18">
        <v>0</v>
      </c>
      <c r="L46" s="18">
        <f t="shared" si="23"/>
        <v>0</v>
      </c>
      <c r="M46" s="30" t="s">
        <v>324</v>
      </c>
      <c r="P46" s="34">
        <f t="shared" si="24"/>
        <v>0</v>
      </c>
      <c r="R46" s="34">
        <f t="shared" si="25"/>
        <v>0</v>
      </c>
      <c r="S46" s="34">
        <f t="shared" si="26"/>
        <v>0</v>
      </c>
      <c r="T46" s="34">
        <f t="shared" si="27"/>
        <v>0</v>
      </c>
      <c r="U46" s="34">
        <f t="shared" si="28"/>
        <v>0</v>
      </c>
      <c r="V46" s="34">
        <f t="shared" si="29"/>
        <v>0</v>
      </c>
      <c r="W46" s="34">
        <f t="shared" si="30"/>
        <v>0</v>
      </c>
      <c r="X46" s="34">
        <f t="shared" si="31"/>
        <v>0</v>
      </c>
      <c r="Y46" s="26"/>
      <c r="Z46" s="18">
        <f t="shared" si="32"/>
        <v>0</v>
      </c>
      <c r="AA46" s="18">
        <f t="shared" si="33"/>
        <v>0</v>
      </c>
      <c r="AB46" s="18">
        <f t="shared" si="34"/>
        <v>0</v>
      </c>
      <c r="AD46" s="34">
        <v>21</v>
      </c>
      <c r="AE46" s="34">
        <f>G46*1</f>
        <v>0</v>
      </c>
      <c r="AF46" s="34">
        <f>G46*(1-1)</f>
        <v>0</v>
      </c>
      <c r="AG46" s="30" t="s">
        <v>13</v>
      </c>
      <c r="AM46" s="34">
        <f t="shared" si="35"/>
        <v>0</v>
      </c>
      <c r="AN46" s="34">
        <f t="shared" si="36"/>
        <v>0</v>
      </c>
      <c r="AO46" s="35" t="s">
        <v>336</v>
      </c>
      <c r="AP46" s="35" t="s">
        <v>344</v>
      </c>
      <c r="AQ46" s="26" t="s">
        <v>346</v>
      </c>
      <c r="AS46" s="34">
        <f t="shared" si="37"/>
        <v>0</v>
      </c>
      <c r="AT46" s="34">
        <f t="shared" si="38"/>
        <v>0</v>
      </c>
      <c r="AU46" s="34">
        <v>0</v>
      </c>
      <c r="AV46" s="34">
        <f t="shared" si="39"/>
        <v>0</v>
      </c>
    </row>
    <row r="47" spans="1:48" ht="12.75">
      <c r="A47" s="4" t="s">
        <v>39</v>
      </c>
      <c r="B47" s="4"/>
      <c r="C47" s="4" t="s">
        <v>133</v>
      </c>
      <c r="D47" s="4" t="s">
        <v>231</v>
      </c>
      <c r="E47" s="4" t="s">
        <v>295</v>
      </c>
      <c r="F47" s="17">
        <v>10</v>
      </c>
      <c r="G47" s="17">
        <v>0</v>
      </c>
      <c r="H47" s="17">
        <f t="shared" si="20"/>
        <v>0</v>
      </c>
      <c r="I47" s="17">
        <f t="shared" si="21"/>
        <v>0</v>
      </c>
      <c r="J47" s="17">
        <f t="shared" si="22"/>
        <v>0</v>
      </c>
      <c r="K47" s="17">
        <v>0</v>
      </c>
      <c r="L47" s="17">
        <f t="shared" si="23"/>
        <v>0</v>
      </c>
      <c r="M47" s="29" t="s">
        <v>324</v>
      </c>
      <c r="P47" s="34">
        <f t="shared" si="24"/>
        <v>0</v>
      </c>
      <c r="R47" s="34">
        <f t="shared" si="25"/>
        <v>0</v>
      </c>
      <c r="S47" s="34">
        <f t="shared" si="26"/>
        <v>0</v>
      </c>
      <c r="T47" s="34">
        <f t="shared" si="27"/>
        <v>0</v>
      </c>
      <c r="U47" s="34">
        <f t="shared" si="28"/>
        <v>0</v>
      </c>
      <c r="V47" s="34">
        <f t="shared" si="29"/>
        <v>0</v>
      </c>
      <c r="W47" s="34">
        <f t="shared" si="30"/>
        <v>0</v>
      </c>
      <c r="X47" s="34">
        <f t="shared" si="31"/>
        <v>0</v>
      </c>
      <c r="Y47" s="26"/>
      <c r="Z47" s="17">
        <f t="shared" si="32"/>
        <v>0</v>
      </c>
      <c r="AA47" s="17">
        <f t="shared" si="33"/>
        <v>0</v>
      </c>
      <c r="AB47" s="17">
        <f t="shared" si="34"/>
        <v>0</v>
      </c>
      <c r="AD47" s="34">
        <v>21</v>
      </c>
      <c r="AE47" s="34">
        <f>G47*0.05</f>
        <v>0</v>
      </c>
      <c r="AF47" s="34">
        <f>G47*(1-0.05)</f>
        <v>0</v>
      </c>
      <c r="AG47" s="29" t="s">
        <v>13</v>
      </c>
      <c r="AM47" s="34">
        <f t="shared" si="35"/>
        <v>0</v>
      </c>
      <c r="AN47" s="34">
        <f t="shared" si="36"/>
        <v>0</v>
      </c>
      <c r="AO47" s="35" t="s">
        <v>336</v>
      </c>
      <c r="AP47" s="35" t="s">
        <v>344</v>
      </c>
      <c r="AQ47" s="26" t="s">
        <v>346</v>
      </c>
      <c r="AS47" s="34">
        <f t="shared" si="37"/>
        <v>0</v>
      </c>
      <c r="AT47" s="34">
        <f t="shared" si="38"/>
        <v>0</v>
      </c>
      <c r="AU47" s="34">
        <v>0</v>
      </c>
      <c r="AV47" s="34">
        <f t="shared" si="39"/>
        <v>0</v>
      </c>
    </row>
    <row r="48" spans="1:48" ht="12.75">
      <c r="A48" s="6" t="s">
        <v>40</v>
      </c>
      <c r="B48" s="6"/>
      <c r="C48" s="6" t="s">
        <v>134</v>
      </c>
      <c r="D48" s="6" t="s">
        <v>232</v>
      </c>
      <c r="E48" s="6" t="s">
        <v>297</v>
      </c>
      <c r="F48" s="18">
        <v>6</v>
      </c>
      <c r="G48" s="18">
        <v>0</v>
      </c>
      <c r="H48" s="18">
        <f t="shared" si="20"/>
        <v>0</v>
      </c>
      <c r="I48" s="18">
        <f t="shared" si="21"/>
        <v>0</v>
      </c>
      <c r="J48" s="18">
        <f t="shared" si="22"/>
        <v>0</v>
      </c>
      <c r="K48" s="18">
        <v>0</v>
      </c>
      <c r="L48" s="18">
        <f t="shared" si="23"/>
        <v>0</v>
      </c>
      <c r="M48" s="30" t="s">
        <v>324</v>
      </c>
      <c r="P48" s="34">
        <f t="shared" si="24"/>
        <v>0</v>
      </c>
      <c r="R48" s="34">
        <f t="shared" si="25"/>
        <v>0</v>
      </c>
      <c r="S48" s="34">
        <f t="shared" si="26"/>
        <v>0</v>
      </c>
      <c r="T48" s="34">
        <f t="shared" si="27"/>
        <v>0</v>
      </c>
      <c r="U48" s="34">
        <f t="shared" si="28"/>
        <v>0</v>
      </c>
      <c r="V48" s="34">
        <f t="shared" si="29"/>
        <v>0</v>
      </c>
      <c r="W48" s="34">
        <f t="shared" si="30"/>
        <v>0</v>
      </c>
      <c r="X48" s="34">
        <f t="shared" si="31"/>
        <v>0</v>
      </c>
      <c r="Y48" s="26"/>
      <c r="Z48" s="18">
        <f t="shared" si="32"/>
        <v>0</v>
      </c>
      <c r="AA48" s="18">
        <f t="shared" si="33"/>
        <v>0</v>
      </c>
      <c r="AB48" s="18">
        <f t="shared" si="34"/>
        <v>0</v>
      </c>
      <c r="AD48" s="34">
        <v>21</v>
      </c>
      <c r="AE48" s="34">
        <f>G48*1</f>
        <v>0</v>
      </c>
      <c r="AF48" s="34">
        <f>G48*(1-1)</f>
        <v>0</v>
      </c>
      <c r="AG48" s="30" t="s">
        <v>13</v>
      </c>
      <c r="AM48" s="34">
        <f t="shared" si="35"/>
        <v>0</v>
      </c>
      <c r="AN48" s="34">
        <f t="shared" si="36"/>
        <v>0</v>
      </c>
      <c r="AO48" s="35" t="s">
        <v>336</v>
      </c>
      <c r="AP48" s="35" t="s">
        <v>344</v>
      </c>
      <c r="AQ48" s="26" t="s">
        <v>346</v>
      </c>
      <c r="AS48" s="34">
        <f t="shared" si="37"/>
        <v>0</v>
      </c>
      <c r="AT48" s="34">
        <f t="shared" si="38"/>
        <v>0</v>
      </c>
      <c r="AU48" s="34">
        <v>0</v>
      </c>
      <c r="AV48" s="34">
        <f t="shared" si="39"/>
        <v>0</v>
      </c>
    </row>
    <row r="49" spans="1:48" ht="12.75">
      <c r="A49" s="6" t="s">
        <v>41</v>
      </c>
      <c r="B49" s="6"/>
      <c r="C49" s="6" t="s">
        <v>135</v>
      </c>
      <c r="D49" s="6" t="s">
        <v>233</v>
      </c>
      <c r="E49" s="6" t="s">
        <v>297</v>
      </c>
      <c r="F49" s="18">
        <v>4</v>
      </c>
      <c r="G49" s="18">
        <v>0</v>
      </c>
      <c r="H49" s="18">
        <f t="shared" si="20"/>
        <v>0</v>
      </c>
      <c r="I49" s="18">
        <f t="shared" si="21"/>
        <v>0</v>
      </c>
      <c r="J49" s="18">
        <f t="shared" si="22"/>
        <v>0</v>
      </c>
      <c r="K49" s="18">
        <v>0</v>
      </c>
      <c r="L49" s="18">
        <f t="shared" si="23"/>
        <v>0</v>
      </c>
      <c r="M49" s="30" t="s">
        <v>324</v>
      </c>
      <c r="P49" s="34">
        <f t="shared" si="24"/>
        <v>0</v>
      </c>
      <c r="R49" s="34">
        <f t="shared" si="25"/>
        <v>0</v>
      </c>
      <c r="S49" s="34">
        <f t="shared" si="26"/>
        <v>0</v>
      </c>
      <c r="T49" s="34">
        <f t="shared" si="27"/>
        <v>0</v>
      </c>
      <c r="U49" s="34">
        <f t="shared" si="28"/>
        <v>0</v>
      </c>
      <c r="V49" s="34">
        <f t="shared" si="29"/>
        <v>0</v>
      </c>
      <c r="W49" s="34">
        <f t="shared" si="30"/>
        <v>0</v>
      </c>
      <c r="X49" s="34">
        <f t="shared" si="31"/>
        <v>0</v>
      </c>
      <c r="Y49" s="26"/>
      <c r="Z49" s="18">
        <f t="shared" si="32"/>
        <v>0</v>
      </c>
      <c r="AA49" s="18">
        <f t="shared" si="33"/>
        <v>0</v>
      </c>
      <c r="AB49" s="18">
        <f t="shared" si="34"/>
        <v>0</v>
      </c>
      <c r="AD49" s="34">
        <v>21</v>
      </c>
      <c r="AE49" s="34">
        <f>G49*1</f>
        <v>0</v>
      </c>
      <c r="AF49" s="34">
        <f>G49*(1-1)</f>
        <v>0</v>
      </c>
      <c r="AG49" s="30" t="s">
        <v>13</v>
      </c>
      <c r="AM49" s="34">
        <f t="shared" si="35"/>
        <v>0</v>
      </c>
      <c r="AN49" s="34">
        <f t="shared" si="36"/>
        <v>0</v>
      </c>
      <c r="AO49" s="35" t="s">
        <v>336</v>
      </c>
      <c r="AP49" s="35" t="s">
        <v>344</v>
      </c>
      <c r="AQ49" s="26" t="s">
        <v>346</v>
      </c>
      <c r="AS49" s="34">
        <f t="shared" si="37"/>
        <v>0</v>
      </c>
      <c r="AT49" s="34">
        <f t="shared" si="38"/>
        <v>0</v>
      </c>
      <c r="AU49" s="34">
        <v>0</v>
      </c>
      <c r="AV49" s="34">
        <f t="shared" si="39"/>
        <v>0</v>
      </c>
    </row>
    <row r="50" spans="1:48" ht="12.75">
      <c r="A50" s="4" t="s">
        <v>42</v>
      </c>
      <c r="B50" s="4"/>
      <c r="C50" s="4" t="s">
        <v>136</v>
      </c>
      <c r="D50" s="4" t="s">
        <v>234</v>
      </c>
      <c r="E50" s="4" t="s">
        <v>295</v>
      </c>
      <c r="F50" s="17">
        <v>2</v>
      </c>
      <c r="G50" s="17">
        <v>0</v>
      </c>
      <c r="H50" s="17">
        <f t="shared" si="20"/>
        <v>0</v>
      </c>
      <c r="I50" s="17">
        <f t="shared" si="21"/>
        <v>0</v>
      </c>
      <c r="J50" s="17">
        <f t="shared" si="22"/>
        <v>0</v>
      </c>
      <c r="K50" s="17">
        <v>0</v>
      </c>
      <c r="L50" s="17">
        <f t="shared" si="23"/>
        <v>0</v>
      </c>
      <c r="M50" s="29" t="s">
        <v>324</v>
      </c>
      <c r="P50" s="34">
        <f t="shared" si="24"/>
        <v>0</v>
      </c>
      <c r="R50" s="34">
        <f t="shared" si="25"/>
        <v>0</v>
      </c>
      <c r="S50" s="34">
        <f t="shared" si="26"/>
        <v>0</v>
      </c>
      <c r="T50" s="34">
        <f t="shared" si="27"/>
        <v>0</v>
      </c>
      <c r="U50" s="34">
        <f t="shared" si="28"/>
        <v>0</v>
      </c>
      <c r="V50" s="34">
        <f t="shared" si="29"/>
        <v>0</v>
      </c>
      <c r="W50" s="34">
        <f t="shared" si="30"/>
        <v>0</v>
      </c>
      <c r="X50" s="34">
        <f t="shared" si="31"/>
        <v>0</v>
      </c>
      <c r="Y50" s="26"/>
      <c r="Z50" s="17">
        <f t="shared" si="32"/>
        <v>0</v>
      </c>
      <c r="AA50" s="17">
        <f t="shared" si="33"/>
        <v>0</v>
      </c>
      <c r="AB50" s="17">
        <f t="shared" si="34"/>
        <v>0</v>
      </c>
      <c r="AD50" s="34">
        <v>21</v>
      </c>
      <c r="AE50" s="34">
        <f>G50*0.0667326732673267</f>
        <v>0</v>
      </c>
      <c r="AF50" s="34">
        <f>G50*(1-0.0667326732673267)</f>
        <v>0</v>
      </c>
      <c r="AG50" s="29" t="s">
        <v>13</v>
      </c>
      <c r="AM50" s="34">
        <f t="shared" si="35"/>
        <v>0</v>
      </c>
      <c r="AN50" s="34">
        <f t="shared" si="36"/>
        <v>0</v>
      </c>
      <c r="AO50" s="35" t="s">
        <v>336</v>
      </c>
      <c r="AP50" s="35" t="s">
        <v>344</v>
      </c>
      <c r="AQ50" s="26" t="s">
        <v>346</v>
      </c>
      <c r="AS50" s="34">
        <f t="shared" si="37"/>
        <v>0</v>
      </c>
      <c r="AT50" s="34">
        <f t="shared" si="38"/>
        <v>0</v>
      </c>
      <c r="AU50" s="34">
        <v>0</v>
      </c>
      <c r="AV50" s="34">
        <f t="shared" si="39"/>
        <v>0</v>
      </c>
    </row>
    <row r="51" spans="1:48" ht="12.75">
      <c r="A51" s="6" t="s">
        <v>43</v>
      </c>
      <c r="B51" s="6"/>
      <c r="C51" s="6" t="s">
        <v>137</v>
      </c>
      <c r="D51" s="6" t="s">
        <v>235</v>
      </c>
      <c r="E51" s="6" t="s">
        <v>297</v>
      </c>
      <c r="F51" s="18">
        <v>1</v>
      </c>
      <c r="G51" s="18">
        <v>0</v>
      </c>
      <c r="H51" s="18">
        <f t="shared" si="20"/>
        <v>0</v>
      </c>
      <c r="I51" s="18">
        <f t="shared" si="21"/>
        <v>0</v>
      </c>
      <c r="J51" s="18">
        <f t="shared" si="22"/>
        <v>0</v>
      </c>
      <c r="K51" s="18">
        <v>0</v>
      </c>
      <c r="L51" s="18">
        <f t="shared" si="23"/>
        <v>0</v>
      </c>
      <c r="M51" s="30" t="s">
        <v>324</v>
      </c>
      <c r="P51" s="34">
        <f t="shared" si="24"/>
        <v>0</v>
      </c>
      <c r="R51" s="34">
        <f t="shared" si="25"/>
        <v>0</v>
      </c>
      <c r="S51" s="34">
        <f t="shared" si="26"/>
        <v>0</v>
      </c>
      <c r="T51" s="34">
        <f t="shared" si="27"/>
        <v>0</v>
      </c>
      <c r="U51" s="34">
        <f t="shared" si="28"/>
        <v>0</v>
      </c>
      <c r="V51" s="34">
        <f t="shared" si="29"/>
        <v>0</v>
      </c>
      <c r="W51" s="34">
        <f t="shared" si="30"/>
        <v>0</v>
      </c>
      <c r="X51" s="34">
        <f t="shared" si="31"/>
        <v>0</v>
      </c>
      <c r="Y51" s="26"/>
      <c r="Z51" s="18">
        <f t="shared" si="32"/>
        <v>0</v>
      </c>
      <c r="AA51" s="18">
        <f t="shared" si="33"/>
        <v>0</v>
      </c>
      <c r="AB51" s="18">
        <f t="shared" si="34"/>
        <v>0</v>
      </c>
      <c r="AD51" s="34">
        <v>21</v>
      </c>
      <c r="AE51" s="34">
        <f>G51*1</f>
        <v>0</v>
      </c>
      <c r="AF51" s="34">
        <f>G51*(1-1)</f>
        <v>0</v>
      </c>
      <c r="AG51" s="30" t="s">
        <v>13</v>
      </c>
      <c r="AM51" s="34">
        <f t="shared" si="35"/>
        <v>0</v>
      </c>
      <c r="AN51" s="34">
        <f t="shared" si="36"/>
        <v>0</v>
      </c>
      <c r="AO51" s="35" t="s">
        <v>336</v>
      </c>
      <c r="AP51" s="35" t="s">
        <v>344</v>
      </c>
      <c r="AQ51" s="26" t="s">
        <v>346</v>
      </c>
      <c r="AS51" s="34">
        <f t="shared" si="37"/>
        <v>0</v>
      </c>
      <c r="AT51" s="34">
        <f t="shared" si="38"/>
        <v>0</v>
      </c>
      <c r="AU51" s="34">
        <v>0</v>
      </c>
      <c r="AV51" s="34">
        <f t="shared" si="39"/>
        <v>0</v>
      </c>
    </row>
    <row r="52" spans="1:48" ht="12.75">
      <c r="A52" s="6" t="s">
        <v>44</v>
      </c>
      <c r="B52" s="6"/>
      <c r="C52" s="6" t="s">
        <v>138</v>
      </c>
      <c r="D52" s="6" t="s">
        <v>236</v>
      </c>
      <c r="E52" s="6" t="s">
        <v>297</v>
      </c>
      <c r="F52" s="18">
        <v>1</v>
      </c>
      <c r="G52" s="18">
        <v>0</v>
      </c>
      <c r="H52" s="18">
        <f t="shared" si="20"/>
        <v>0</v>
      </c>
      <c r="I52" s="18">
        <f t="shared" si="21"/>
        <v>0</v>
      </c>
      <c r="J52" s="18">
        <f t="shared" si="22"/>
        <v>0</v>
      </c>
      <c r="K52" s="18">
        <v>0</v>
      </c>
      <c r="L52" s="18">
        <f t="shared" si="23"/>
        <v>0</v>
      </c>
      <c r="M52" s="30" t="s">
        <v>324</v>
      </c>
      <c r="P52" s="34">
        <f t="shared" si="24"/>
        <v>0</v>
      </c>
      <c r="R52" s="34">
        <f t="shared" si="25"/>
        <v>0</v>
      </c>
      <c r="S52" s="34">
        <f t="shared" si="26"/>
        <v>0</v>
      </c>
      <c r="T52" s="34">
        <f t="shared" si="27"/>
        <v>0</v>
      </c>
      <c r="U52" s="34">
        <f t="shared" si="28"/>
        <v>0</v>
      </c>
      <c r="V52" s="34">
        <f t="shared" si="29"/>
        <v>0</v>
      </c>
      <c r="W52" s="34">
        <f t="shared" si="30"/>
        <v>0</v>
      </c>
      <c r="X52" s="34">
        <f t="shared" si="31"/>
        <v>0</v>
      </c>
      <c r="Y52" s="26"/>
      <c r="Z52" s="18">
        <f t="shared" si="32"/>
        <v>0</v>
      </c>
      <c r="AA52" s="18">
        <f t="shared" si="33"/>
        <v>0</v>
      </c>
      <c r="AB52" s="18">
        <f t="shared" si="34"/>
        <v>0</v>
      </c>
      <c r="AD52" s="34">
        <v>21</v>
      </c>
      <c r="AE52" s="34">
        <f>G52*1</f>
        <v>0</v>
      </c>
      <c r="AF52" s="34">
        <f>G52*(1-1)</f>
        <v>0</v>
      </c>
      <c r="AG52" s="30" t="s">
        <v>13</v>
      </c>
      <c r="AM52" s="34">
        <f t="shared" si="35"/>
        <v>0</v>
      </c>
      <c r="AN52" s="34">
        <f t="shared" si="36"/>
        <v>0</v>
      </c>
      <c r="AO52" s="35" t="s">
        <v>336</v>
      </c>
      <c r="AP52" s="35" t="s">
        <v>344</v>
      </c>
      <c r="AQ52" s="26" t="s">
        <v>346</v>
      </c>
      <c r="AS52" s="34">
        <f t="shared" si="37"/>
        <v>0</v>
      </c>
      <c r="AT52" s="34">
        <f t="shared" si="38"/>
        <v>0</v>
      </c>
      <c r="AU52" s="34">
        <v>0</v>
      </c>
      <c r="AV52" s="34">
        <f t="shared" si="39"/>
        <v>0</v>
      </c>
    </row>
    <row r="53" spans="1:48" ht="12.75">
      <c r="A53" s="4" t="s">
        <v>45</v>
      </c>
      <c r="B53" s="4"/>
      <c r="C53" s="4" t="s">
        <v>139</v>
      </c>
      <c r="D53" s="4" t="s">
        <v>237</v>
      </c>
      <c r="E53" s="4" t="s">
        <v>295</v>
      </c>
      <c r="F53" s="17">
        <v>8</v>
      </c>
      <c r="G53" s="17">
        <v>0</v>
      </c>
      <c r="H53" s="17">
        <f t="shared" si="20"/>
        <v>0</v>
      </c>
      <c r="I53" s="17">
        <f t="shared" si="21"/>
        <v>0</v>
      </c>
      <c r="J53" s="17">
        <f t="shared" si="22"/>
        <v>0</v>
      </c>
      <c r="K53" s="17">
        <v>0.00039</v>
      </c>
      <c r="L53" s="17">
        <f t="shared" si="23"/>
        <v>0.00312</v>
      </c>
      <c r="M53" s="29" t="s">
        <v>324</v>
      </c>
      <c r="P53" s="34">
        <f t="shared" si="24"/>
        <v>0</v>
      </c>
      <c r="R53" s="34">
        <f t="shared" si="25"/>
        <v>0</v>
      </c>
      <c r="S53" s="34">
        <f t="shared" si="26"/>
        <v>0</v>
      </c>
      <c r="T53" s="34">
        <f t="shared" si="27"/>
        <v>0</v>
      </c>
      <c r="U53" s="34">
        <f t="shared" si="28"/>
        <v>0</v>
      </c>
      <c r="V53" s="34">
        <f t="shared" si="29"/>
        <v>0</v>
      </c>
      <c r="W53" s="34">
        <f t="shared" si="30"/>
        <v>0</v>
      </c>
      <c r="X53" s="34">
        <f t="shared" si="31"/>
        <v>0</v>
      </c>
      <c r="Y53" s="26"/>
      <c r="Z53" s="17">
        <f t="shared" si="32"/>
        <v>0</v>
      </c>
      <c r="AA53" s="17">
        <f t="shared" si="33"/>
        <v>0</v>
      </c>
      <c r="AB53" s="17">
        <f t="shared" si="34"/>
        <v>0</v>
      </c>
      <c r="AD53" s="34">
        <v>21</v>
      </c>
      <c r="AE53" s="34">
        <f>G53*0.782860759493671</f>
        <v>0</v>
      </c>
      <c r="AF53" s="34">
        <f>G53*(1-0.782860759493671)</f>
        <v>0</v>
      </c>
      <c r="AG53" s="29" t="s">
        <v>13</v>
      </c>
      <c r="AM53" s="34">
        <f t="shared" si="35"/>
        <v>0</v>
      </c>
      <c r="AN53" s="34">
        <f t="shared" si="36"/>
        <v>0</v>
      </c>
      <c r="AO53" s="35" t="s">
        <v>336</v>
      </c>
      <c r="AP53" s="35" t="s">
        <v>344</v>
      </c>
      <c r="AQ53" s="26" t="s">
        <v>346</v>
      </c>
      <c r="AS53" s="34">
        <f t="shared" si="37"/>
        <v>0</v>
      </c>
      <c r="AT53" s="34">
        <f t="shared" si="38"/>
        <v>0</v>
      </c>
      <c r="AU53" s="34">
        <v>0</v>
      </c>
      <c r="AV53" s="34">
        <f t="shared" si="39"/>
        <v>0.00312</v>
      </c>
    </row>
    <row r="54" spans="1:48" ht="12.75">
      <c r="A54" s="4" t="s">
        <v>46</v>
      </c>
      <c r="B54" s="4"/>
      <c r="C54" s="4" t="s">
        <v>140</v>
      </c>
      <c r="D54" s="4" t="s">
        <v>238</v>
      </c>
      <c r="E54" s="4" t="s">
        <v>295</v>
      </c>
      <c r="F54" s="17">
        <v>4</v>
      </c>
      <c r="G54" s="17">
        <v>0</v>
      </c>
      <c r="H54" s="17">
        <f t="shared" si="20"/>
        <v>0</v>
      </c>
      <c r="I54" s="17">
        <f t="shared" si="21"/>
        <v>0</v>
      </c>
      <c r="J54" s="17">
        <f t="shared" si="22"/>
        <v>0</v>
      </c>
      <c r="K54" s="17">
        <v>0.00026</v>
      </c>
      <c r="L54" s="17">
        <f t="shared" si="23"/>
        <v>0.00104</v>
      </c>
      <c r="M54" s="29" t="s">
        <v>324</v>
      </c>
      <c r="P54" s="34">
        <f t="shared" si="24"/>
        <v>0</v>
      </c>
      <c r="R54" s="34">
        <f t="shared" si="25"/>
        <v>0</v>
      </c>
      <c r="S54" s="34">
        <f t="shared" si="26"/>
        <v>0</v>
      </c>
      <c r="T54" s="34">
        <f t="shared" si="27"/>
        <v>0</v>
      </c>
      <c r="U54" s="34">
        <f t="shared" si="28"/>
        <v>0</v>
      </c>
      <c r="V54" s="34">
        <f t="shared" si="29"/>
        <v>0</v>
      </c>
      <c r="W54" s="34">
        <f t="shared" si="30"/>
        <v>0</v>
      </c>
      <c r="X54" s="34">
        <f t="shared" si="31"/>
        <v>0</v>
      </c>
      <c r="Y54" s="26"/>
      <c r="Z54" s="17">
        <f t="shared" si="32"/>
        <v>0</v>
      </c>
      <c r="AA54" s="17">
        <f t="shared" si="33"/>
        <v>0</v>
      </c>
      <c r="AB54" s="17">
        <f t="shared" si="34"/>
        <v>0</v>
      </c>
      <c r="AD54" s="34">
        <v>21</v>
      </c>
      <c r="AE54" s="34">
        <f>G54*0.775500821018062</f>
        <v>0</v>
      </c>
      <c r="AF54" s="34">
        <f>G54*(1-0.775500821018062)</f>
        <v>0</v>
      </c>
      <c r="AG54" s="29" t="s">
        <v>13</v>
      </c>
      <c r="AM54" s="34">
        <f t="shared" si="35"/>
        <v>0</v>
      </c>
      <c r="AN54" s="34">
        <f t="shared" si="36"/>
        <v>0</v>
      </c>
      <c r="AO54" s="35" t="s">
        <v>336</v>
      </c>
      <c r="AP54" s="35" t="s">
        <v>344</v>
      </c>
      <c r="AQ54" s="26" t="s">
        <v>346</v>
      </c>
      <c r="AS54" s="34">
        <f t="shared" si="37"/>
        <v>0</v>
      </c>
      <c r="AT54" s="34">
        <f t="shared" si="38"/>
        <v>0</v>
      </c>
      <c r="AU54" s="34">
        <v>0</v>
      </c>
      <c r="AV54" s="34">
        <f t="shared" si="39"/>
        <v>0.00104</v>
      </c>
    </row>
    <row r="55" spans="1:48" ht="12.75">
      <c r="A55" s="4" t="s">
        <v>47</v>
      </c>
      <c r="B55" s="4"/>
      <c r="C55" s="4" t="s">
        <v>141</v>
      </c>
      <c r="D55" s="4" t="s">
        <v>239</v>
      </c>
      <c r="E55" s="4" t="s">
        <v>295</v>
      </c>
      <c r="F55" s="17">
        <v>8</v>
      </c>
      <c r="G55" s="17">
        <v>0</v>
      </c>
      <c r="H55" s="17">
        <f t="shared" si="20"/>
        <v>0</v>
      </c>
      <c r="I55" s="17">
        <f t="shared" si="21"/>
        <v>0</v>
      </c>
      <c r="J55" s="17">
        <f t="shared" si="22"/>
        <v>0</v>
      </c>
      <c r="K55" s="17">
        <v>0.00057</v>
      </c>
      <c r="L55" s="17">
        <f t="shared" si="23"/>
        <v>0.00456</v>
      </c>
      <c r="M55" s="29" t="s">
        <v>324</v>
      </c>
      <c r="P55" s="34">
        <f t="shared" si="24"/>
        <v>0</v>
      </c>
      <c r="R55" s="34">
        <f t="shared" si="25"/>
        <v>0</v>
      </c>
      <c r="S55" s="34">
        <f t="shared" si="26"/>
        <v>0</v>
      </c>
      <c r="T55" s="34">
        <f t="shared" si="27"/>
        <v>0</v>
      </c>
      <c r="U55" s="34">
        <f t="shared" si="28"/>
        <v>0</v>
      </c>
      <c r="V55" s="34">
        <f t="shared" si="29"/>
        <v>0</v>
      </c>
      <c r="W55" s="34">
        <f t="shared" si="30"/>
        <v>0</v>
      </c>
      <c r="X55" s="34">
        <f t="shared" si="31"/>
        <v>0</v>
      </c>
      <c r="Y55" s="26"/>
      <c r="Z55" s="17">
        <f t="shared" si="32"/>
        <v>0</v>
      </c>
      <c r="AA55" s="17">
        <f t="shared" si="33"/>
        <v>0</v>
      </c>
      <c r="AB55" s="17">
        <f t="shared" si="34"/>
        <v>0</v>
      </c>
      <c r="AD55" s="34">
        <v>21</v>
      </c>
      <c r="AE55" s="34">
        <f>G55*0.822211720226843</f>
        <v>0</v>
      </c>
      <c r="AF55" s="34">
        <f>G55*(1-0.822211720226843)</f>
        <v>0</v>
      </c>
      <c r="AG55" s="29" t="s">
        <v>13</v>
      </c>
      <c r="AM55" s="34">
        <f t="shared" si="35"/>
        <v>0</v>
      </c>
      <c r="AN55" s="34">
        <f t="shared" si="36"/>
        <v>0</v>
      </c>
      <c r="AO55" s="35" t="s">
        <v>336</v>
      </c>
      <c r="AP55" s="35" t="s">
        <v>344</v>
      </c>
      <c r="AQ55" s="26" t="s">
        <v>346</v>
      </c>
      <c r="AS55" s="34">
        <f t="shared" si="37"/>
        <v>0</v>
      </c>
      <c r="AT55" s="34">
        <f t="shared" si="38"/>
        <v>0</v>
      </c>
      <c r="AU55" s="34">
        <v>0</v>
      </c>
      <c r="AV55" s="34">
        <f t="shared" si="39"/>
        <v>0.00456</v>
      </c>
    </row>
    <row r="56" spans="1:48" ht="12.75">
      <c r="A56" s="4" t="s">
        <v>48</v>
      </c>
      <c r="B56" s="4"/>
      <c r="C56" s="4" t="s">
        <v>142</v>
      </c>
      <c r="D56" s="4" t="s">
        <v>240</v>
      </c>
      <c r="E56" s="4" t="s">
        <v>295</v>
      </c>
      <c r="F56" s="17">
        <v>2</v>
      </c>
      <c r="G56" s="17">
        <v>0</v>
      </c>
      <c r="H56" s="17">
        <f t="shared" si="20"/>
        <v>0</v>
      </c>
      <c r="I56" s="17">
        <f t="shared" si="21"/>
        <v>0</v>
      </c>
      <c r="J56" s="17">
        <f t="shared" si="22"/>
        <v>0</v>
      </c>
      <c r="K56" s="17">
        <v>0.0008</v>
      </c>
      <c r="L56" s="17">
        <f t="shared" si="23"/>
        <v>0.0016</v>
      </c>
      <c r="M56" s="29" t="s">
        <v>324</v>
      </c>
      <c r="P56" s="34">
        <f t="shared" si="24"/>
        <v>0</v>
      </c>
      <c r="R56" s="34">
        <f t="shared" si="25"/>
        <v>0</v>
      </c>
      <c r="S56" s="34">
        <f t="shared" si="26"/>
        <v>0</v>
      </c>
      <c r="T56" s="34">
        <f t="shared" si="27"/>
        <v>0</v>
      </c>
      <c r="U56" s="34">
        <f t="shared" si="28"/>
        <v>0</v>
      </c>
      <c r="V56" s="34">
        <f t="shared" si="29"/>
        <v>0</v>
      </c>
      <c r="W56" s="34">
        <f t="shared" si="30"/>
        <v>0</v>
      </c>
      <c r="X56" s="34">
        <f t="shared" si="31"/>
        <v>0</v>
      </c>
      <c r="Y56" s="26"/>
      <c r="Z56" s="17">
        <f t="shared" si="32"/>
        <v>0</v>
      </c>
      <c r="AA56" s="17">
        <f t="shared" si="33"/>
        <v>0</v>
      </c>
      <c r="AB56" s="17">
        <f t="shared" si="34"/>
        <v>0</v>
      </c>
      <c r="AD56" s="34">
        <v>21</v>
      </c>
      <c r="AE56" s="34">
        <f>G56*0.845637119113573</f>
        <v>0</v>
      </c>
      <c r="AF56" s="34">
        <f>G56*(1-0.845637119113573)</f>
        <v>0</v>
      </c>
      <c r="AG56" s="29" t="s">
        <v>13</v>
      </c>
      <c r="AM56" s="34">
        <f t="shared" si="35"/>
        <v>0</v>
      </c>
      <c r="AN56" s="34">
        <f t="shared" si="36"/>
        <v>0</v>
      </c>
      <c r="AO56" s="35" t="s">
        <v>336</v>
      </c>
      <c r="AP56" s="35" t="s">
        <v>344</v>
      </c>
      <c r="AQ56" s="26" t="s">
        <v>346</v>
      </c>
      <c r="AS56" s="34">
        <f t="shared" si="37"/>
        <v>0</v>
      </c>
      <c r="AT56" s="34">
        <f t="shared" si="38"/>
        <v>0</v>
      </c>
      <c r="AU56" s="34">
        <v>0</v>
      </c>
      <c r="AV56" s="34">
        <f t="shared" si="39"/>
        <v>0.0016</v>
      </c>
    </row>
    <row r="57" spans="1:48" ht="12.75">
      <c r="A57" s="4" t="s">
        <v>49</v>
      </c>
      <c r="B57" s="4"/>
      <c r="C57" s="4" t="s">
        <v>143</v>
      </c>
      <c r="D57" s="4" t="s">
        <v>241</v>
      </c>
      <c r="E57" s="4" t="s">
        <v>295</v>
      </c>
      <c r="F57" s="17">
        <v>2</v>
      </c>
      <c r="G57" s="17">
        <v>0</v>
      </c>
      <c r="H57" s="17">
        <f t="shared" si="20"/>
        <v>0</v>
      </c>
      <c r="I57" s="17">
        <f t="shared" si="21"/>
        <v>0</v>
      </c>
      <c r="J57" s="17">
        <f t="shared" si="22"/>
        <v>0</v>
      </c>
      <c r="K57" s="17">
        <v>0.00183</v>
      </c>
      <c r="L57" s="17">
        <f t="shared" si="23"/>
        <v>0.00366</v>
      </c>
      <c r="M57" s="29" t="s">
        <v>324</v>
      </c>
      <c r="P57" s="34">
        <f t="shared" si="24"/>
        <v>0</v>
      </c>
      <c r="R57" s="34">
        <f t="shared" si="25"/>
        <v>0</v>
      </c>
      <c r="S57" s="34">
        <f t="shared" si="26"/>
        <v>0</v>
      </c>
      <c r="T57" s="34">
        <f t="shared" si="27"/>
        <v>0</v>
      </c>
      <c r="U57" s="34">
        <f t="shared" si="28"/>
        <v>0</v>
      </c>
      <c r="V57" s="34">
        <f t="shared" si="29"/>
        <v>0</v>
      </c>
      <c r="W57" s="34">
        <f t="shared" si="30"/>
        <v>0</v>
      </c>
      <c r="X57" s="34">
        <f t="shared" si="31"/>
        <v>0</v>
      </c>
      <c r="Y57" s="26"/>
      <c r="Z57" s="17">
        <f t="shared" si="32"/>
        <v>0</v>
      </c>
      <c r="AA57" s="17">
        <f t="shared" si="33"/>
        <v>0</v>
      </c>
      <c r="AB57" s="17">
        <f t="shared" si="34"/>
        <v>0</v>
      </c>
      <c r="AD57" s="34">
        <v>21</v>
      </c>
      <c r="AE57" s="34">
        <f>G57*0.879098417068135</f>
        <v>0</v>
      </c>
      <c r="AF57" s="34">
        <f>G57*(1-0.879098417068135)</f>
        <v>0</v>
      </c>
      <c r="AG57" s="29" t="s">
        <v>13</v>
      </c>
      <c r="AM57" s="34">
        <f t="shared" si="35"/>
        <v>0</v>
      </c>
      <c r="AN57" s="34">
        <f t="shared" si="36"/>
        <v>0</v>
      </c>
      <c r="AO57" s="35" t="s">
        <v>336</v>
      </c>
      <c r="AP57" s="35" t="s">
        <v>344</v>
      </c>
      <c r="AQ57" s="26" t="s">
        <v>346</v>
      </c>
      <c r="AS57" s="34">
        <f t="shared" si="37"/>
        <v>0</v>
      </c>
      <c r="AT57" s="34">
        <f t="shared" si="38"/>
        <v>0</v>
      </c>
      <c r="AU57" s="34">
        <v>0</v>
      </c>
      <c r="AV57" s="34">
        <f t="shared" si="39"/>
        <v>0.00366</v>
      </c>
    </row>
    <row r="58" spans="1:48" ht="12.75">
      <c r="A58" s="4" t="s">
        <v>50</v>
      </c>
      <c r="B58" s="4"/>
      <c r="C58" s="4" t="s">
        <v>144</v>
      </c>
      <c r="D58" s="4" t="s">
        <v>242</v>
      </c>
      <c r="E58" s="4" t="s">
        <v>295</v>
      </c>
      <c r="F58" s="17">
        <v>330</v>
      </c>
      <c r="G58" s="17">
        <v>0</v>
      </c>
      <c r="H58" s="17">
        <f t="shared" si="20"/>
        <v>0</v>
      </c>
      <c r="I58" s="17">
        <f t="shared" si="21"/>
        <v>0</v>
      </c>
      <c r="J58" s="17">
        <f t="shared" si="22"/>
        <v>0</v>
      </c>
      <c r="K58" s="17">
        <v>0.0002</v>
      </c>
      <c r="L58" s="17">
        <f t="shared" si="23"/>
        <v>0.066</v>
      </c>
      <c r="M58" s="29" t="s">
        <v>324</v>
      </c>
      <c r="P58" s="34">
        <f t="shared" si="24"/>
        <v>0</v>
      </c>
      <c r="R58" s="34">
        <f t="shared" si="25"/>
        <v>0</v>
      </c>
      <c r="S58" s="34">
        <f t="shared" si="26"/>
        <v>0</v>
      </c>
      <c r="T58" s="34">
        <f t="shared" si="27"/>
        <v>0</v>
      </c>
      <c r="U58" s="34">
        <f t="shared" si="28"/>
        <v>0</v>
      </c>
      <c r="V58" s="34">
        <f t="shared" si="29"/>
        <v>0</v>
      </c>
      <c r="W58" s="34">
        <f t="shared" si="30"/>
        <v>0</v>
      </c>
      <c r="X58" s="34">
        <f t="shared" si="31"/>
        <v>0</v>
      </c>
      <c r="Y58" s="26"/>
      <c r="Z58" s="17">
        <f t="shared" si="32"/>
        <v>0</v>
      </c>
      <c r="AA58" s="17">
        <f t="shared" si="33"/>
        <v>0</v>
      </c>
      <c r="AB58" s="17">
        <f t="shared" si="34"/>
        <v>0</v>
      </c>
      <c r="AD58" s="34">
        <v>21</v>
      </c>
      <c r="AE58" s="34">
        <f>G58*0.772133333333333</f>
        <v>0</v>
      </c>
      <c r="AF58" s="34">
        <f>G58*(1-0.772133333333333)</f>
        <v>0</v>
      </c>
      <c r="AG58" s="29" t="s">
        <v>13</v>
      </c>
      <c r="AM58" s="34">
        <f t="shared" si="35"/>
        <v>0</v>
      </c>
      <c r="AN58" s="34">
        <f t="shared" si="36"/>
        <v>0</v>
      </c>
      <c r="AO58" s="35" t="s">
        <v>336</v>
      </c>
      <c r="AP58" s="35" t="s">
        <v>344</v>
      </c>
      <c r="AQ58" s="26" t="s">
        <v>346</v>
      </c>
      <c r="AS58" s="34">
        <f t="shared" si="37"/>
        <v>0</v>
      </c>
      <c r="AT58" s="34">
        <f t="shared" si="38"/>
        <v>0</v>
      </c>
      <c r="AU58" s="34">
        <v>0</v>
      </c>
      <c r="AV58" s="34">
        <f t="shared" si="39"/>
        <v>0.066</v>
      </c>
    </row>
    <row r="59" spans="1:48" ht="12.75">
      <c r="A59" s="4" t="s">
        <v>51</v>
      </c>
      <c r="B59" s="4"/>
      <c r="C59" s="4" t="s">
        <v>145</v>
      </c>
      <c r="D59" s="4" t="s">
        <v>243</v>
      </c>
      <c r="E59" s="4" t="s">
        <v>295</v>
      </c>
      <c r="F59" s="17">
        <v>2</v>
      </c>
      <c r="G59" s="17">
        <v>0</v>
      </c>
      <c r="H59" s="17">
        <f t="shared" si="20"/>
        <v>0</v>
      </c>
      <c r="I59" s="17">
        <f t="shared" si="21"/>
        <v>0</v>
      </c>
      <c r="J59" s="17">
        <f t="shared" si="22"/>
        <v>0</v>
      </c>
      <c r="K59" s="17">
        <v>0.00036</v>
      </c>
      <c r="L59" s="17">
        <f t="shared" si="23"/>
        <v>0.00072</v>
      </c>
      <c r="M59" s="29" t="s">
        <v>324</v>
      </c>
      <c r="P59" s="34">
        <f t="shared" si="24"/>
        <v>0</v>
      </c>
      <c r="R59" s="34">
        <f t="shared" si="25"/>
        <v>0</v>
      </c>
      <c r="S59" s="34">
        <f t="shared" si="26"/>
        <v>0</v>
      </c>
      <c r="T59" s="34">
        <f t="shared" si="27"/>
        <v>0</v>
      </c>
      <c r="U59" s="34">
        <f t="shared" si="28"/>
        <v>0</v>
      </c>
      <c r="V59" s="34">
        <f t="shared" si="29"/>
        <v>0</v>
      </c>
      <c r="W59" s="34">
        <f t="shared" si="30"/>
        <v>0</v>
      </c>
      <c r="X59" s="34">
        <f t="shared" si="31"/>
        <v>0</v>
      </c>
      <c r="Y59" s="26"/>
      <c r="Z59" s="17">
        <f t="shared" si="32"/>
        <v>0</v>
      </c>
      <c r="AA59" s="17">
        <f t="shared" si="33"/>
        <v>0</v>
      </c>
      <c r="AB59" s="17">
        <f t="shared" si="34"/>
        <v>0</v>
      </c>
      <c r="AD59" s="34">
        <v>21</v>
      </c>
      <c r="AE59" s="34">
        <f>G59*0.839341950646298</f>
        <v>0</v>
      </c>
      <c r="AF59" s="34">
        <f>G59*(1-0.839341950646298)</f>
        <v>0</v>
      </c>
      <c r="AG59" s="29" t="s">
        <v>13</v>
      </c>
      <c r="AM59" s="34">
        <f t="shared" si="35"/>
        <v>0</v>
      </c>
      <c r="AN59" s="34">
        <f t="shared" si="36"/>
        <v>0</v>
      </c>
      <c r="AO59" s="35" t="s">
        <v>336</v>
      </c>
      <c r="AP59" s="35" t="s">
        <v>344</v>
      </c>
      <c r="AQ59" s="26" t="s">
        <v>346</v>
      </c>
      <c r="AS59" s="34">
        <f t="shared" si="37"/>
        <v>0</v>
      </c>
      <c r="AT59" s="34">
        <f t="shared" si="38"/>
        <v>0</v>
      </c>
      <c r="AU59" s="34">
        <v>0</v>
      </c>
      <c r="AV59" s="34">
        <f t="shared" si="39"/>
        <v>0.00072</v>
      </c>
    </row>
    <row r="60" spans="1:48" ht="12.75">
      <c r="A60" s="4" t="s">
        <v>52</v>
      </c>
      <c r="B60" s="4"/>
      <c r="C60" s="4" t="s">
        <v>146</v>
      </c>
      <c r="D60" s="4" t="s">
        <v>244</v>
      </c>
      <c r="E60" s="4" t="s">
        <v>295</v>
      </c>
      <c r="F60" s="17">
        <v>36</v>
      </c>
      <c r="G60" s="17">
        <v>0</v>
      </c>
      <c r="H60" s="17">
        <f t="shared" si="20"/>
        <v>0</v>
      </c>
      <c r="I60" s="17">
        <f t="shared" si="21"/>
        <v>0</v>
      </c>
      <c r="J60" s="17">
        <f t="shared" si="22"/>
        <v>0</v>
      </c>
      <c r="K60" s="17">
        <v>0.00014</v>
      </c>
      <c r="L60" s="17">
        <f t="shared" si="23"/>
        <v>0.005039999999999999</v>
      </c>
      <c r="M60" s="29" t="s">
        <v>324</v>
      </c>
      <c r="P60" s="34">
        <f t="shared" si="24"/>
        <v>0</v>
      </c>
      <c r="R60" s="34">
        <f t="shared" si="25"/>
        <v>0</v>
      </c>
      <c r="S60" s="34">
        <f t="shared" si="26"/>
        <v>0</v>
      </c>
      <c r="T60" s="34">
        <f t="shared" si="27"/>
        <v>0</v>
      </c>
      <c r="U60" s="34">
        <f t="shared" si="28"/>
        <v>0</v>
      </c>
      <c r="V60" s="34">
        <f t="shared" si="29"/>
        <v>0</v>
      </c>
      <c r="W60" s="34">
        <f t="shared" si="30"/>
        <v>0</v>
      </c>
      <c r="X60" s="34">
        <f t="shared" si="31"/>
        <v>0</v>
      </c>
      <c r="Y60" s="26"/>
      <c r="Z60" s="17">
        <f t="shared" si="32"/>
        <v>0</v>
      </c>
      <c r="AA60" s="17">
        <f t="shared" si="33"/>
        <v>0</v>
      </c>
      <c r="AB60" s="17">
        <f t="shared" si="34"/>
        <v>0</v>
      </c>
      <c r="AD60" s="34">
        <v>21</v>
      </c>
      <c r="AE60" s="34">
        <f>G60*0.657148622742407</f>
        <v>0</v>
      </c>
      <c r="AF60" s="34">
        <f>G60*(1-0.657148622742407)</f>
        <v>0</v>
      </c>
      <c r="AG60" s="29" t="s">
        <v>13</v>
      </c>
      <c r="AM60" s="34">
        <f t="shared" si="35"/>
        <v>0</v>
      </c>
      <c r="AN60" s="34">
        <f t="shared" si="36"/>
        <v>0</v>
      </c>
      <c r="AO60" s="35" t="s">
        <v>336</v>
      </c>
      <c r="AP60" s="35" t="s">
        <v>344</v>
      </c>
      <c r="AQ60" s="26" t="s">
        <v>346</v>
      </c>
      <c r="AS60" s="34">
        <f t="shared" si="37"/>
        <v>0</v>
      </c>
      <c r="AT60" s="34">
        <f t="shared" si="38"/>
        <v>0</v>
      </c>
      <c r="AU60" s="34">
        <v>0</v>
      </c>
      <c r="AV60" s="34">
        <f t="shared" si="39"/>
        <v>0.005039999999999999</v>
      </c>
    </row>
    <row r="61" spans="1:37" ht="12.75">
      <c r="A61" s="5"/>
      <c r="B61" s="13"/>
      <c r="C61" s="13" t="s">
        <v>147</v>
      </c>
      <c r="D61" s="13" t="s">
        <v>245</v>
      </c>
      <c r="E61" s="5" t="s">
        <v>6</v>
      </c>
      <c r="F61" s="5" t="s">
        <v>6</v>
      </c>
      <c r="G61" s="5" t="s">
        <v>6</v>
      </c>
      <c r="H61" s="37">
        <f>SUM(H62:H97)</f>
        <v>0</v>
      </c>
      <c r="I61" s="37">
        <f>SUM(I62:I97)</f>
        <v>0</v>
      </c>
      <c r="J61" s="37">
        <f>H61+I61</f>
        <v>0</v>
      </c>
      <c r="K61" s="26"/>
      <c r="L61" s="37">
        <f>SUM(L62:L97)</f>
        <v>8.61684</v>
      </c>
      <c r="M61" s="26"/>
      <c r="Y61" s="26"/>
      <c r="AI61" s="37">
        <f>SUM(Z62:Z97)</f>
        <v>0</v>
      </c>
      <c r="AJ61" s="37">
        <f>SUM(AA62:AA97)</f>
        <v>0</v>
      </c>
      <c r="AK61" s="37">
        <f>SUM(AB62:AB97)</f>
        <v>0</v>
      </c>
    </row>
    <row r="62" spans="1:48" ht="12.75">
      <c r="A62" s="4" t="s">
        <v>53</v>
      </c>
      <c r="B62" s="4"/>
      <c r="C62" s="4" t="s">
        <v>148</v>
      </c>
      <c r="D62" s="4" t="s">
        <v>246</v>
      </c>
      <c r="E62" s="4" t="s">
        <v>295</v>
      </c>
      <c r="F62" s="17">
        <v>1</v>
      </c>
      <c r="G62" s="17">
        <v>0</v>
      </c>
      <c r="H62" s="17">
        <f aca="true" t="shared" si="40" ref="H62:H97">F62*AE62</f>
        <v>0</v>
      </c>
      <c r="I62" s="17">
        <f aca="true" t="shared" si="41" ref="I62:I97">J62-H62</f>
        <v>0</v>
      </c>
      <c r="J62" s="17">
        <f aca="true" t="shared" si="42" ref="J62:J97">F62*G62</f>
        <v>0</v>
      </c>
      <c r="K62" s="17">
        <v>0.00416</v>
      </c>
      <c r="L62" s="17">
        <f aca="true" t="shared" si="43" ref="L62:L97">F62*K62</f>
        <v>0.00416</v>
      </c>
      <c r="M62" s="29" t="s">
        <v>324</v>
      </c>
      <c r="P62" s="34">
        <f aca="true" t="shared" si="44" ref="P62:P97">IF(AG62="5",J62,0)</f>
        <v>0</v>
      </c>
      <c r="R62" s="34">
        <f aca="true" t="shared" si="45" ref="R62:R97">IF(AG62="1",H62,0)</f>
        <v>0</v>
      </c>
      <c r="S62" s="34">
        <f aca="true" t="shared" si="46" ref="S62:S97">IF(AG62="1",I62,0)</f>
        <v>0</v>
      </c>
      <c r="T62" s="34">
        <f aca="true" t="shared" si="47" ref="T62:T97">IF(AG62="7",H62,0)</f>
        <v>0</v>
      </c>
      <c r="U62" s="34">
        <f aca="true" t="shared" si="48" ref="U62:U97">IF(AG62="7",I62,0)</f>
        <v>0</v>
      </c>
      <c r="V62" s="34">
        <f aca="true" t="shared" si="49" ref="V62:V97">IF(AG62="2",H62,0)</f>
        <v>0</v>
      </c>
      <c r="W62" s="34">
        <f aca="true" t="shared" si="50" ref="W62:W97">IF(AG62="2",I62,0)</f>
        <v>0</v>
      </c>
      <c r="X62" s="34">
        <f aca="true" t="shared" si="51" ref="X62:X97">IF(AG62="0",J62,0)</f>
        <v>0</v>
      </c>
      <c r="Y62" s="26"/>
      <c r="Z62" s="17">
        <f aca="true" t="shared" si="52" ref="Z62:Z97">IF(AD62=0,J62,0)</f>
        <v>0</v>
      </c>
      <c r="AA62" s="17">
        <f aca="true" t="shared" si="53" ref="AA62:AA97">IF(AD62=15,J62,0)</f>
        <v>0</v>
      </c>
      <c r="AB62" s="17">
        <f aca="true" t="shared" si="54" ref="AB62:AB97">IF(AD62=21,J62,0)</f>
        <v>0</v>
      </c>
      <c r="AD62" s="34">
        <v>21</v>
      </c>
      <c r="AE62" s="34">
        <f>G62*0.761220504475183</f>
        <v>0</v>
      </c>
      <c r="AF62" s="34">
        <f>G62*(1-0.761220504475183)</f>
        <v>0</v>
      </c>
      <c r="AG62" s="29" t="s">
        <v>13</v>
      </c>
      <c r="AM62" s="34">
        <f aca="true" t="shared" si="55" ref="AM62:AM97">F62*AE62</f>
        <v>0</v>
      </c>
      <c r="AN62" s="34">
        <f aca="true" t="shared" si="56" ref="AN62:AN97">F62*AF62</f>
        <v>0</v>
      </c>
      <c r="AO62" s="35" t="s">
        <v>337</v>
      </c>
      <c r="AP62" s="35" t="s">
        <v>344</v>
      </c>
      <c r="AQ62" s="26" t="s">
        <v>346</v>
      </c>
      <c r="AS62" s="34">
        <f aca="true" t="shared" si="57" ref="AS62:AS97">AM62+AN62</f>
        <v>0</v>
      </c>
      <c r="AT62" s="34">
        <f aca="true" t="shared" si="58" ref="AT62:AT97">G62/(100-AU62)*100</f>
        <v>0</v>
      </c>
      <c r="AU62" s="34">
        <v>0</v>
      </c>
      <c r="AV62" s="34">
        <f aca="true" t="shared" si="59" ref="AV62:AV97">L62</f>
        <v>0.00416</v>
      </c>
    </row>
    <row r="63" spans="1:48" ht="12.75">
      <c r="A63" s="4" t="s">
        <v>54</v>
      </c>
      <c r="B63" s="4"/>
      <c r="C63" s="4" t="s">
        <v>149</v>
      </c>
      <c r="D63" s="4" t="s">
        <v>247</v>
      </c>
      <c r="E63" s="4" t="s">
        <v>295</v>
      </c>
      <c r="F63" s="17">
        <v>4</v>
      </c>
      <c r="G63" s="17">
        <v>0</v>
      </c>
      <c r="H63" s="17">
        <f t="shared" si="40"/>
        <v>0</v>
      </c>
      <c r="I63" s="17">
        <f t="shared" si="41"/>
        <v>0</v>
      </c>
      <c r="J63" s="17">
        <f t="shared" si="42"/>
        <v>0</v>
      </c>
      <c r="K63" s="17">
        <v>0.0052</v>
      </c>
      <c r="L63" s="17">
        <f t="shared" si="43"/>
        <v>0.0208</v>
      </c>
      <c r="M63" s="29" t="s">
        <v>324</v>
      </c>
      <c r="P63" s="34">
        <f t="shared" si="44"/>
        <v>0</v>
      </c>
      <c r="R63" s="34">
        <f t="shared" si="45"/>
        <v>0</v>
      </c>
      <c r="S63" s="34">
        <f t="shared" si="46"/>
        <v>0</v>
      </c>
      <c r="T63" s="34">
        <f t="shared" si="47"/>
        <v>0</v>
      </c>
      <c r="U63" s="34">
        <f t="shared" si="48"/>
        <v>0</v>
      </c>
      <c r="V63" s="34">
        <f t="shared" si="49"/>
        <v>0</v>
      </c>
      <c r="W63" s="34">
        <f t="shared" si="50"/>
        <v>0</v>
      </c>
      <c r="X63" s="34">
        <f t="shared" si="51"/>
        <v>0</v>
      </c>
      <c r="Y63" s="26"/>
      <c r="Z63" s="17">
        <f t="shared" si="52"/>
        <v>0</v>
      </c>
      <c r="AA63" s="17">
        <f t="shared" si="53"/>
        <v>0</v>
      </c>
      <c r="AB63" s="17">
        <f t="shared" si="54"/>
        <v>0</v>
      </c>
      <c r="AD63" s="34">
        <v>21</v>
      </c>
      <c r="AE63" s="34">
        <f>G63*0.777344461305008</f>
        <v>0</v>
      </c>
      <c r="AF63" s="34">
        <f>G63*(1-0.777344461305008)</f>
        <v>0</v>
      </c>
      <c r="AG63" s="29" t="s">
        <v>13</v>
      </c>
      <c r="AM63" s="34">
        <f t="shared" si="55"/>
        <v>0</v>
      </c>
      <c r="AN63" s="34">
        <f t="shared" si="56"/>
        <v>0</v>
      </c>
      <c r="AO63" s="35" t="s">
        <v>337</v>
      </c>
      <c r="AP63" s="35" t="s">
        <v>344</v>
      </c>
      <c r="AQ63" s="26" t="s">
        <v>346</v>
      </c>
      <c r="AS63" s="34">
        <f t="shared" si="57"/>
        <v>0</v>
      </c>
      <c r="AT63" s="34">
        <f t="shared" si="58"/>
        <v>0</v>
      </c>
      <c r="AU63" s="34">
        <v>0</v>
      </c>
      <c r="AV63" s="34">
        <f t="shared" si="59"/>
        <v>0.0208</v>
      </c>
    </row>
    <row r="64" spans="1:48" ht="12.75">
      <c r="A64" s="4" t="s">
        <v>55</v>
      </c>
      <c r="B64" s="4"/>
      <c r="C64" s="4" t="s">
        <v>150</v>
      </c>
      <c r="D64" s="4" t="s">
        <v>248</v>
      </c>
      <c r="E64" s="4" t="s">
        <v>295</v>
      </c>
      <c r="F64" s="17">
        <v>2</v>
      </c>
      <c r="G64" s="17">
        <v>0</v>
      </c>
      <c r="H64" s="17">
        <f t="shared" si="40"/>
        <v>0</v>
      </c>
      <c r="I64" s="17">
        <f t="shared" si="41"/>
        <v>0</v>
      </c>
      <c r="J64" s="17">
        <f t="shared" si="42"/>
        <v>0</v>
      </c>
      <c r="K64" s="17">
        <v>0.00832</v>
      </c>
      <c r="L64" s="17">
        <f t="shared" si="43"/>
        <v>0.01664</v>
      </c>
      <c r="M64" s="29" t="s">
        <v>324</v>
      </c>
      <c r="P64" s="34">
        <f t="shared" si="44"/>
        <v>0</v>
      </c>
      <c r="R64" s="34">
        <f t="shared" si="45"/>
        <v>0</v>
      </c>
      <c r="S64" s="34">
        <f t="shared" si="46"/>
        <v>0</v>
      </c>
      <c r="T64" s="34">
        <f t="shared" si="47"/>
        <v>0</v>
      </c>
      <c r="U64" s="34">
        <f t="shared" si="48"/>
        <v>0</v>
      </c>
      <c r="V64" s="34">
        <f t="shared" si="49"/>
        <v>0</v>
      </c>
      <c r="W64" s="34">
        <f t="shared" si="50"/>
        <v>0</v>
      </c>
      <c r="X64" s="34">
        <f t="shared" si="51"/>
        <v>0</v>
      </c>
      <c r="Y64" s="26"/>
      <c r="Z64" s="17">
        <f t="shared" si="52"/>
        <v>0</v>
      </c>
      <c r="AA64" s="17">
        <f t="shared" si="53"/>
        <v>0</v>
      </c>
      <c r="AB64" s="17">
        <f t="shared" si="54"/>
        <v>0</v>
      </c>
      <c r="AD64" s="34">
        <v>21</v>
      </c>
      <c r="AE64" s="34">
        <f>G64*0.811351347941022</f>
        <v>0</v>
      </c>
      <c r="AF64" s="34">
        <f>G64*(1-0.811351347941022)</f>
        <v>0</v>
      </c>
      <c r="AG64" s="29" t="s">
        <v>13</v>
      </c>
      <c r="AM64" s="34">
        <f t="shared" si="55"/>
        <v>0</v>
      </c>
      <c r="AN64" s="34">
        <f t="shared" si="56"/>
        <v>0</v>
      </c>
      <c r="AO64" s="35" t="s">
        <v>337</v>
      </c>
      <c r="AP64" s="35" t="s">
        <v>344</v>
      </c>
      <c r="AQ64" s="26" t="s">
        <v>346</v>
      </c>
      <c r="AS64" s="34">
        <f t="shared" si="57"/>
        <v>0</v>
      </c>
      <c r="AT64" s="34">
        <f t="shared" si="58"/>
        <v>0</v>
      </c>
      <c r="AU64" s="34">
        <v>0</v>
      </c>
      <c r="AV64" s="34">
        <f t="shared" si="59"/>
        <v>0.01664</v>
      </c>
    </row>
    <row r="65" spans="1:48" ht="12.75">
      <c r="A65" s="4" t="s">
        <v>56</v>
      </c>
      <c r="B65" s="4"/>
      <c r="C65" s="4" t="s">
        <v>151</v>
      </c>
      <c r="D65" s="4" t="s">
        <v>249</v>
      </c>
      <c r="E65" s="4" t="s">
        <v>295</v>
      </c>
      <c r="F65" s="17">
        <v>3</v>
      </c>
      <c r="G65" s="17">
        <v>0</v>
      </c>
      <c r="H65" s="17">
        <f t="shared" si="40"/>
        <v>0</v>
      </c>
      <c r="I65" s="17">
        <f t="shared" si="41"/>
        <v>0</v>
      </c>
      <c r="J65" s="17">
        <f t="shared" si="42"/>
        <v>0</v>
      </c>
      <c r="K65" s="17">
        <v>0.00936</v>
      </c>
      <c r="L65" s="17">
        <f t="shared" si="43"/>
        <v>0.02808</v>
      </c>
      <c r="M65" s="29" t="s">
        <v>324</v>
      </c>
      <c r="P65" s="34">
        <f t="shared" si="44"/>
        <v>0</v>
      </c>
      <c r="R65" s="34">
        <f t="shared" si="45"/>
        <v>0</v>
      </c>
      <c r="S65" s="34">
        <f t="shared" si="46"/>
        <v>0</v>
      </c>
      <c r="T65" s="34">
        <f t="shared" si="47"/>
        <v>0</v>
      </c>
      <c r="U65" s="34">
        <f t="shared" si="48"/>
        <v>0</v>
      </c>
      <c r="V65" s="34">
        <f t="shared" si="49"/>
        <v>0</v>
      </c>
      <c r="W65" s="34">
        <f t="shared" si="50"/>
        <v>0</v>
      </c>
      <c r="X65" s="34">
        <f t="shared" si="51"/>
        <v>0</v>
      </c>
      <c r="Y65" s="26"/>
      <c r="Z65" s="17">
        <f t="shared" si="52"/>
        <v>0</v>
      </c>
      <c r="AA65" s="17">
        <f t="shared" si="53"/>
        <v>0</v>
      </c>
      <c r="AB65" s="17">
        <f t="shared" si="54"/>
        <v>0</v>
      </c>
      <c r="AD65" s="34">
        <v>21</v>
      </c>
      <c r="AE65" s="34">
        <f>G65*0.820738484781266</f>
        <v>0</v>
      </c>
      <c r="AF65" s="34">
        <f>G65*(1-0.820738484781266)</f>
        <v>0</v>
      </c>
      <c r="AG65" s="29" t="s">
        <v>13</v>
      </c>
      <c r="AM65" s="34">
        <f t="shared" si="55"/>
        <v>0</v>
      </c>
      <c r="AN65" s="34">
        <f t="shared" si="56"/>
        <v>0</v>
      </c>
      <c r="AO65" s="35" t="s">
        <v>337</v>
      </c>
      <c r="AP65" s="35" t="s">
        <v>344</v>
      </c>
      <c r="AQ65" s="26" t="s">
        <v>346</v>
      </c>
      <c r="AS65" s="34">
        <f t="shared" si="57"/>
        <v>0</v>
      </c>
      <c r="AT65" s="34">
        <f t="shared" si="58"/>
        <v>0</v>
      </c>
      <c r="AU65" s="34">
        <v>0</v>
      </c>
      <c r="AV65" s="34">
        <f t="shared" si="59"/>
        <v>0.02808</v>
      </c>
    </row>
    <row r="66" spans="1:48" ht="12.75">
      <c r="A66" s="4" t="s">
        <v>57</v>
      </c>
      <c r="B66" s="4"/>
      <c r="C66" s="4" t="s">
        <v>152</v>
      </c>
      <c r="D66" s="4" t="s">
        <v>250</v>
      </c>
      <c r="E66" s="4" t="s">
        <v>295</v>
      </c>
      <c r="F66" s="17">
        <v>10</v>
      </c>
      <c r="G66" s="17">
        <v>0</v>
      </c>
      <c r="H66" s="17">
        <f t="shared" si="40"/>
        <v>0</v>
      </c>
      <c r="I66" s="17">
        <f t="shared" si="41"/>
        <v>0</v>
      </c>
      <c r="J66" s="17">
        <f t="shared" si="42"/>
        <v>0</v>
      </c>
      <c r="K66" s="17">
        <v>0.01041</v>
      </c>
      <c r="L66" s="17">
        <f t="shared" si="43"/>
        <v>0.10410000000000001</v>
      </c>
      <c r="M66" s="29" t="s">
        <v>324</v>
      </c>
      <c r="P66" s="34">
        <f t="shared" si="44"/>
        <v>0</v>
      </c>
      <c r="R66" s="34">
        <f t="shared" si="45"/>
        <v>0</v>
      </c>
      <c r="S66" s="34">
        <f t="shared" si="46"/>
        <v>0</v>
      </c>
      <c r="T66" s="34">
        <f t="shared" si="47"/>
        <v>0</v>
      </c>
      <c r="U66" s="34">
        <f t="shared" si="48"/>
        <v>0</v>
      </c>
      <c r="V66" s="34">
        <f t="shared" si="49"/>
        <v>0</v>
      </c>
      <c r="W66" s="34">
        <f t="shared" si="50"/>
        <v>0</v>
      </c>
      <c r="X66" s="34">
        <f t="shared" si="51"/>
        <v>0</v>
      </c>
      <c r="Y66" s="26"/>
      <c r="Z66" s="17">
        <f t="shared" si="52"/>
        <v>0</v>
      </c>
      <c r="AA66" s="17">
        <f t="shared" si="53"/>
        <v>0</v>
      </c>
      <c r="AB66" s="17">
        <f t="shared" si="54"/>
        <v>0</v>
      </c>
      <c r="AD66" s="34">
        <v>21</v>
      </c>
      <c r="AE66" s="34">
        <f>G66*0.828981217985202</f>
        <v>0</v>
      </c>
      <c r="AF66" s="34">
        <f>G66*(1-0.828981217985202)</f>
        <v>0</v>
      </c>
      <c r="AG66" s="29" t="s">
        <v>13</v>
      </c>
      <c r="AM66" s="34">
        <f t="shared" si="55"/>
        <v>0</v>
      </c>
      <c r="AN66" s="34">
        <f t="shared" si="56"/>
        <v>0</v>
      </c>
      <c r="AO66" s="35" t="s">
        <v>337</v>
      </c>
      <c r="AP66" s="35" t="s">
        <v>344</v>
      </c>
      <c r="AQ66" s="26" t="s">
        <v>346</v>
      </c>
      <c r="AS66" s="34">
        <f t="shared" si="57"/>
        <v>0</v>
      </c>
      <c r="AT66" s="34">
        <f t="shared" si="58"/>
        <v>0</v>
      </c>
      <c r="AU66" s="34">
        <v>0</v>
      </c>
      <c r="AV66" s="34">
        <f t="shared" si="59"/>
        <v>0.10410000000000001</v>
      </c>
    </row>
    <row r="67" spans="1:48" ht="12.75">
      <c r="A67" s="4" t="s">
        <v>58</v>
      </c>
      <c r="B67" s="4"/>
      <c r="C67" s="4" t="s">
        <v>153</v>
      </c>
      <c r="D67" s="4" t="s">
        <v>251</v>
      </c>
      <c r="E67" s="4" t="s">
        <v>295</v>
      </c>
      <c r="F67" s="17">
        <v>5</v>
      </c>
      <c r="G67" s="17">
        <v>0</v>
      </c>
      <c r="H67" s="17">
        <f t="shared" si="40"/>
        <v>0</v>
      </c>
      <c r="I67" s="17">
        <f t="shared" si="41"/>
        <v>0</v>
      </c>
      <c r="J67" s="17">
        <f t="shared" si="42"/>
        <v>0</v>
      </c>
      <c r="K67" s="17">
        <v>0.01145</v>
      </c>
      <c r="L67" s="17">
        <f t="shared" si="43"/>
        <v>0.05725</v>
      </c>
      <c r="M67" s="29" t="s">
        <v>324</v>
      </c>
      <c r="P67" s="34">
        <f t="shared" si="44"/>
        <v>0</v>
      </c>
      <c r="R67" s="34">
        <f t="shared" si="45"/>
        <v>0</v>
      </c>
      <c r="S67" s="34">
        <f t="shared" si="46"/>
        <v>0</v>
      </c>
      <c r="T67" s="34">
        <f t="shared" si="47"/>
        <v>0</v>
      </c>
      <c r="U67" s="34">
        <f t="shared" si="48"/>
        <v>0</v>
      </c>
      <c r="V67" s="34">
        <f t="shared" si="49"/>
        <v>0</v>
      </c>
      <c r="W67" s="34">
        <f t="shared" si="50"/>
        <v>0</v>
      </c>
      <c r="X67" s="34">
        <f t="shared" si="51"/>
        <v>0</v>
      </c>
      <c r="Y67" s="26"/>
      <c r="Z67" s="17">
        <f t="shared" si="52"/>
        <v>0</v>
      </c>
      <c r="AA67" s="17">
        <f t="shared" si="53"/>
        <v>0</v>
      </c>
      <c r="AB67" s="17">
        <f t="shared" si="54"/>
        <v>0</v>
      </c>
      <c r="AD67" s="34">
        <v>21</v>
      </c>
      <c r="AE67" s="34">
        <f>G67*0.836302997818095</f>
        <v>0</v>
      </c>
      <c r="AF67" s="34">
        <f>G67*(1-0.836302997818095)</f>
        <v>0</v>
      </c>
      <c r="AG67" s="29" t="s">
        <v>13</v>
      </c>
      <c r="AM67" s="34">
        <f t="shared" si="55"/>
        <v>0</v>
      </c>
      <c r="AN67" s="34">
        <f t="shared" si="56"/>
        <v>0</v>
      </c>
      <c r="AO67" s="35" t="s">
        <v>337</v>
      </c>
      <c r="AP67" s="35" t="s">
        <v>344</v>
      </c>
      <c r="AQ67" s="26" t="s">
        <v>346</v>
      </c>
      <c r="AS67" s="34">
        <f t="shared" si="57"/>
        <v>0</v>
      </c>
      <c r="AT67" s="34">
        <f t="shared" si="58"/>
        <v>0</v>
      </c>
      <c r="AU67" s="34">
        <v>0</v>
      </c>
      <c r="AV67" s="34">
        <f t="shared" si="59"/>
        <v>0.05725</v>
      </c>
    </row>
    <row r="68" spans="1:48" ht="12.75">
      <c r="A68" s="4" t="s">
        <v>59</v>
      </c>
      <c r="B68" s="4"/>
      <c r="C68" s="4" t="s">
        <v>154</v>
      </c>
      <c r="D68" s="4" t="s">
        <v>252</v>
      </c>
      <c r="E68" s="4" t="s">
        <v>295</v>
      </c>
      <c r="F68" s="17">
        <v>20</v>
      </c>
      <c r="G68" s="17">
        <v>0</v>
      </c>
      <c r="H68" s="17">
        <f t="shared" si="40"/>
        <v>0</v>
      </c>
      <c r="I68" s="17">
        <f t="shared" si="41"/>
        <v>0</v>
      </c>
      <c r="J68" s="17">
        <f t="shared" si="42"/>
        <v>0</v>
      </c>
      <c r="K68" s="17">
        <v>0.01249</v>
      </c>
      <c r="L68" s="17">
        <f t="shared" si="43"/>
        <v>0.2498</v>
      </c>
      <c r="M68" s="29" t="s">
        <v>324</v>
      </c>
      <c r="P68" s="34">
        <f t="shared" si="44"/>
        <v>0</v>
      </c>
      <c r="R68" s="34">
        <f t="shared" si="45"/>
        <v>0</v>
      </c>
      <c r="S68" s="34">
        <f t="shared" si="46"/>
        <v>0</v>
      </c>
      <c r="T68" s="34">
        <f t="shared" si="47"/>
        <v>0</v>
      </c>
      <c r="U68" s="34">
        <f t="shared" si="48"/>
        <v>0</v>
      </c>
      <c r="V68" s="34">
        <f t="shared" si="49"/>
        <v>0</v>
      </c>
      <c r="W68" s="34">
        <f t="shared" si="50"/>
        <v>0</v>
      </c>
      <c r="X68" s="34">
        <f t="shared" si="51"/>
        <v>0</v>
      </c>
      <c r="Y68" s="26"/>
      <c r="Z68" s="17">
        <f t="shared" si="52"/>
        <v>0</v>
      </c>
      <c r="AA68" s="17">
        <f t="shared" si="53"/>
        <v>0</v>
      </c>
      <c r="AB68" s="17">
        <f t="shared" si="54"/>
        <v>0</v>
      </c>
      <c r="AD68" s="34">
        <v>21</v>
      </c>
      <c r="AE68" s="34">
        <f>G68*0.842987891535444</f>
        <v>0</v>
      </c>
      <c r="AF68" s="34">
        <f>G68*(1-0.842987891535444)</f>
        <v>0</v>
      </c>
      <c r="AG68" s="29" t="s">
        <v>13</v>
      </c>
      <c r="AM68" s="34">
        <f t="shared" si="55"/>
        <v>0</v>
      </c>
      <c r="AN68" s="34">
        <f t="shared" si="56"/>
        <v>0</v>
      </c>
      <c r="AO68" s="35" t="s">
        <v>337</v>
      </c>
      <c r="AP68" s="35" t="s">
        <v>344</v>
      </c>
      <c r="AQ68" s="26" t="s">
        <v>346</v>
      </c>
      <c r="AS68" s="34">
        <f t="shared" si="57"/>
        <v>0</v>
      </c>
      <c r="AT68" s="34">
        <f t="shared" si="58"/>
        <v>0</v>
      </c>
      <c r="AU68" s="34">
        <v>0</v>
      </c>
      <c r="AV68" s="34">
        <f t="shared" si="59"/>
        <v>0.2498</v>
      </c>
    </row>
    <row r="69" spans="1:48" ht="12.75">
      <c r="A69" s="4" t="s">
        <v>60</v>
      </c>
      <c r="B69" s="4"/>
      <c r="C69" s="4" t="s">
        <v>155</v>
      </c>
      <c r="D69" s="4" t="s">
        <v>253</v>
      </c>
      <c r="E69" s="4" t="s">
        <v>295</v>
      </c>
      <c r="F69" s="17">
        <v>40</v>
      </c>
      <c r="G69" s="17">
        <v>0</v>
      </c>
      <c r="H69" s="17">
        <f t="shared" si="40"/>
        <v>0</v>
      </c>
      <c r="I69" s="17">
        <f t="shared" si="41"/>
        <v>0</v>
      </c>
      <c r="J69" s="17">
        <f t="shared" si="42"/>
        <v>0</v>
      </c>
      <c r="K69" s="17">
        <v>0.01457</v>
      </c>
      <c r="L69" s="17">
        <f t="shared" si="43"/>
        <v>0.5828</v>
      </c>
      <c r="M69" s="29" t="s">
        <v>324</v>
      </c>
      <c r="P69" s="34">
        <f t="shared" si="44"/>
        <v>0</v>
      </c>
      <c r="R69" s="34">
        <f t="shared" si="45"/>
        <v>0</v>
      </c>
      <c r="S69" s="34">
        <f t="shared" si="46"/>
        <v>0</v>
      </c>
      <c r="T69" s="34">
        <f t="shared" si="47"/>
        <v>0</v>
      </c>
      <c r="U69" s="34">
        <f t="shared" si="48"/>
        <v>0</v>
      </c>
      <c r="V69" s="34">
        <f t="shared" si="49"/>
        <v>0</v>
      </c>
      <c r="W69" s="34">
        <f t="shared" si="50"/>
        <v>0</v>
      </c>
      <c r="X69" s="34">
        <f t="shared" si="51"/>
        <v>0</v>
      </c>
      <c r="Y69" s="26"/>
      <c r="Z69" s="17">
        <f t="shared" si="52"/>
        <v>0</v>
      </c>
      <c r="AA69" s="17">
        <f t="shared" si="53"/>
        <v>0</v>
      </c>
      <c r="AB69" s="17">
        <f t="shared" si="54"/>
        <v>0</v>
      </c>
      <c r="AD69" s="34">
        <v>21</v>
      </c>
      <c r="AE69" s="34">
        <f>G69*0.855299263984531</f>
        <v>0</v>
      </c>
      <c r="AF69" s="34">
        <f>G69*(1-0.855299263984531)</f>
        <v>0</v>
      </c>
      <c r="AG69" s="29" t="s">
        <v>13</v>
      </c>
      <c r="AM69" s="34">
        <f t="shared" si="55"/>
        <v>0</v>
      </c>
      <c r="AN69" s="34">
        <f t="shared" si="56"/>
        <v>0</v>
      </c>
      <c r="AO69" s="35" t="s">
        <v>337</v>
      </c>
      <c r="AP69" s="35" t="s">
        <v>344</v>
      </c>
      <c r="AQ69" s="26" t="s">
        <v>346</v>
      </c>
      <c r="AS69" s="34">
        <f t="shared" si="57"/>
        <v>0</v>
      </c>
      <c r="AT69" s="34">
        <f t="shared" si="58"/>
        <v>0</v>
      </c>
      <c r="AU69" s="34">
        <v>0</v>
      </c>
      <c r="AV69" s="34">
        <f t="shared" si="59"/>
        <v>0.5828</v>
      </c>
    </row>
    <row r="70" spans="1:48" ht="12.75">
      <c r="A70" s="4" t="s">
        <v>61</v>
      </c>
      <c r="B70" s="4"/>
      <c r="C70" s="4" t="s">
        <v>156</v>
      </c>
      <c r="D70" s="4" t="s">
        <v>254</v>
      </c>
      <c r="E70" s="4" t="s">
        <v>295</v>
      </c>
      <c r="F70" s="17">
        <v>14</v>
      </c>
      <c r="G70" s="17">
        <v>0</v>
      </c>
      <c r="H70" s="17">
        <f t="shared" si="40"/>
        <v>0</v>
      </c>
      <c r="I70" s="17">
        <f t="shared" si="41"/>
        <v>0</v>
      </c>
      <c r="J70" s="17">
        <f t="shared" si="42"/>
        <v>0</v>
      </c>
      <c r="K70" s="17">
        <v>0.01665</v>
      </c>
      <c r="L70" s="17">
        <f t="shared" si="43"/>
        <v>0.23310000000000003</v>
      </c>
      <c r="M70" s="29" t="s">
        <v>324</v>
      </c>
      <c r="P70" s="34">
        <f t="shared" si="44"/>
        <v>0</v>
      </c>
      <c r="R70" s="34">
        <f t="shared" si="45"/>
        <v>0</v>
      </c>
      <c r="S70" s="34">
        <f t="shared" si="46"/>
        <v>0</v>
      </c>
      <c r="T70" s="34">
        <f t="shared" si="47"/>
        <v>0</v>
      </c>
      <c r="U70" s="34">
        <f t="shared" si="48"/>
        <v>0</v>
      </c>
      <c r="V70" s="34">
        <f t="shared" si="49"/>
        <v>0</v>
      </c>
      <c r="W70" s="34">
        <f t="shared" si="50"/>
        <v>0</v>
      </c>
      <c r="X70" s="34">
        <f t="shared" si="51"/>
        <v>0</v>
      </c>
      <c r="Y70" s="26"/>
      <c r="Z70" s="17">
        <f t="shared" si="52"/>
        <v>0</v>
      </c>
      <c r="AA70" s="17">
        <f t="shared" si="53"/>
        <v>0</v>
      </c>
      <c r="AB70" s="17">
        <f t="shared" si="54"/>
        <v>0</v>
      </c>
      <c r="AD70" s="34">
        <v>21</v>
      </c>
      <c r="AE70" s="34">
        <f>G70*0.850993548387097</f>
        <v>0</v>
      </c>
      <c r="AF70" s="34">
        <f>G70*(1-0.850993548387097)</f>
        <v>0</v>
      </c>
      <c r="AG70" s="29" t="s">
        <v>13</v>
      </c>
      <c r="AM70" s="34">
        <f t="shared" si="55"/>
        <v>0</v>
      </c>
      <c r="AN70" s="34">
        <f t="shared" si="56"/>
        <v>0</v>
      </c>
      <c r="AO70" s="35" t="s">
        <v>337</v>
      </c>
      <c r="AP70" s="35" t="s">
        <v>344</v>
      </c>
      <c r="AQ70" s="26" t="s">
        <v>346</v>
      </c>
      <c r="AS70" s="34">
        <f t="shared" si="57"/>
        <v>0</v>
      </c>
      <c r="AT70" s="34">
        <f t="shared" si="58"/>
        <v>0</v>
      </c>
      <c r="AU70" s="34">
        <v>0</v>
      </c>
      <c r="AV70" s="34">
        <f t="shared" si="59"/>
        <v>0.23310000000000003</v>
      </c>
    </row>
    <row r="71" spans="1:48" ht="12.75">
      <c r="A71" s="4" t="s">
        <v>62</v>
      </c>
      <c r="B71" s="4"/>
      <c r="C71" s="4" t="s">
        <v>157</v>
      </c>
      <c r="D71" s="4" t="s">
        <v>255</v>
      </c>
      <c r="E71" s="4" t="s">
        <v>295</v>
      </c>
      <c r="F71" s="17">
        <v>7</v>
      </c>
      <c r="G71" s="17">
        <v>0</v>
      </c>
      <c r="H71" s="17">
        <f t="shared" si="40"/>
        <v>0</v>
      </c>
      <c r="I71" s="17">
        <f t="shared" si="41"/>
        <v>0</v>
      </c>
      <c r="J71" s="17">
        <f t="shared" si="42"/>
        <v>0</v>
      </c>
      <c r="K71" s="17">
        <v>0.01873</v>
      </c>
      <c r="L71" s="17">
        <f t="shared" si="43"/>
        <v>0.13111</v>
      </c>
      <c r="M71" s="29" t="s">
        <v>324</v>
      </c>
      <c r="P71" s="34">
        <f t="shared" si="44"/>
        <v>0</v>
      </c>
      <c r="R71" s="34">
        <f t="shared" si="45"/>
        <v>0</v>
      </c>
      <c r="S71" s="34">
        <f t="shared" si="46"/>
        <v>0</v>
      </c>
      <c r="T71" s="34">
        <f t="shared" si="47"/>
        <v>0</v>
      </c>
      <c r="U71" s="34">
        <f t="shared" si="48"/>
        <v>0</v>
      </c>
      <c r="V71" s="34">
        <f t="shared" si="49"/>
        <v>0</v>
      </c>
      <c r="W71" s="34">
        <f t="shared" si="50"/>
        <v>0</v>
      </c>
      <c r="X71" s="34">
        <f t="shared" si="51"/>
        <v>0</v>
      </c>
      <c r="Y71" s="26"/>
      <c r="Z71" s="17">
        <f t="shared" si="52"/>
        <v>0</v>
      </c>
      <c r="AA71" s="17">
        <f t="shared" si="53"/>
        <v>0</v>
      </c>
      <c r="AB71" s="17">
        <f t="shared" si="54"/>
        <v>0</v>
      </c>
      <c r="AD71" s="34">
        <v>21</v>
      </c>
      <c r="AE71" s="34">
        <f>G71*0.864562620423892</f>
        <v>0</v>
      </c>
      <c r="AF71" s="34">
        <f>G71*(1-0.864562620423892)</f>
        <v>0</v>
      </c>
      <c r="AG71" s="29" t="s">
        <v>13</v>
      </c>
      <c r="AM71" s="34">
        <f t="shared" si="55"/>
        <v>0</v>
      </c>
      <c r="AN71" s="34">
        <f t="shared" si="56"/>
        <v>0</v>
      </c>
      <c r="AO71" s="35" t="s">
        <v>337</v>
      </c>
      <c r="AP71" s="35" t="s">
        <v>344</v>
      </c>
      <c r="AQ71" s="26" t="s">
        <v>346</v>
      </c>
      <c r="AS71" s="34">
        <f t="shared" si="57"/>
        <v>0</v>
      </c>
      <c r="AT71" s="34">
        <f t="shared" si="58"/>
        <v>0</v>
      </c>
      <c r="AU71" s="34">
        <v>0</v>
      </c>
      <c r="AV71" s="34">
        <f t="shared" si="59"/>
        <v>0.13111</v>
      </c>
    </row>
    <row r="72" spans="1:48" ht="12.75">
      <c r="A72" s="4" t="s">
        <v>63</v>
      </c>
      <c r="B72" s="4"/>
      <c r="C72" s="4" t="s">
        <v>158</v>
      </c>
      <c r="D72" s="4" t="s">
        <v>256</v>
      </c>
      <c r="E72" s="4" t="s">
        <v>295</v>
      </c>
      <c r="F72" s="17">
        <v>5</v>
      </c>
      <c r="G72" s="17">
        <v>0</v>
      </c>
      <c r="H72" s="17">
        <f t="shared" si="40"/>
        <v>0</v>
      </c>
      <c r="I72" s="17">
        <f t="shared" si="41"/>
        <v>0</v>
      </c>
      <c r="J72" s="17">
        <f t="shared" si="42"/>
        <v>0</v>
      </c>
      <c r="K72" s="17">
        <v>0.02082</v>
      </c>
      <c r="L72" s="17">
        <f t="shared" si="43"/>
        <v>0.10410000000000001</v>
      </c>
      <c r="M72" s="29" t="s">
        <v>324</v>
      </c>
      <c r="P72" s="34">
        <f t="shared" si="44"/>
        <v>0</v>
      </c>
      <c r="R72" s="34">
        <f t="shared" si="45"/>
        <v>0</v>
      </c>
      <c r="S72" s="34">
        <f t="shared" si="46"/>
        <v>0</v>
      </c>
      <c r="T72" s="34">
        <f t="shared" si="47"/>
        <v>0</v>
      </c>
      <c r="U72" s="34">
        <f t="shared" si="48"/>
        <v>0</v>
      </c>
      <c r="V72" s="34">
        <f t="shared" si="49"/>
        <v>0</v>
      </c>
      <c r="W72" s="34">
        <f t="shared" si="50"/>
        <v>0</v>
      </c>
      <c r="X72" s="34">
        <f t="shared" si="51"/>
        <v>0</v>
      </c>
      <c r="Y72" s="26"/>
      <c r="Z72" s="17">
        <f t="shared" si="52"/>
        <v>0</v>
      </c>
      <c r="AA72" s="17">
        <f t="shared" si="53"/>
        <v>0</v>
      </c>
      <c r="AB72" s="17">
        <f t="shared" si="54"/>
        <v>0</v>
      </c>
      <c r="AD72" s="34">
        <v>21</v>
      </c>
      <c r="AE72" s="34">
        <f>G72*0.87258844765343</f>
        <v>0</v>
      </c>
      <c r="AF72" s="34">
        <f>G72*(1-0.87258844765343)</f>
        <v>0</v>
      </c>
      <c r="AG72" s="29" t="s">
        <v>13</v>
      </c>
      <c r="AM72" s="34">
        <f t="shared" si="55"/>
        <v>0</v>
      </c>
      <c r="AN72" s="34">
        <f t="shared" si="56"/>
        <v>0</v>
      </c>
      <c r="AO72" s="35" t="s">
        <v>337</v>
      </c>
      <c r="AP72" s="35" t="s">
        <v>344</v>
      </c>
      <c r="AQ72" s="26" t="s">
        <v>346</v>
      </c>
      <c r="AS72" s="34">
        <f t="shared" si="57"/>
        <v>0</v>
      </c>
      <c r="AT72" s="34">
        <f t="shared" si="58"/>
        <v>0</v>
      </c>
      <c r="AU72" s="34">
        <v>0</v>
      </c>
      <c r="AV72" s="34">
        <f t="shared" si="59"/>
        <v>0.10410000000000001</v>
      </c>
    </row>
    <row r="73" spans="1:48" ht="12.75">
      <c r="A73" s="4" t="s">
        <v>64</v>
      </c>
      <c r="B73" s="4"/>
      <c r="C73" s="4" t="s">
        <v>159</v>
      </c>
      <c r="D73" s="4" t="s">
        <v>257</v>
      </c>
      <c r="E73" s="4" t="s">
        <v>295</v>
      </c>
      <c r="F73" s="17">
        <v>1</v>
      </c>
      <c r="G73" s="17">
        <v>0</v>
      </c>
      <c r="H73" s="17">
        <f t="shared" si="40"/>
        <v>0</v>
      </c>
      <c r="I73" s="17">
        <f t="shared" si="41"/>
        <v>0</v>
      </c>
      <c r="J73" s="17">
        <f t="shared" si="42"/>
        <v>0</v>
      </c>
      <c r="K73" s="17">
        <v>0.01728</v>
      </c>
      <c r="L73" s="17">
        <f t="shared" si="43"/>
        <v>0.01728</v>
      </c>
      <c r="M73" s="29" t="s">
        <v>324</v>
      </c>
      <c r="P73" s="34">
        <f t="shared" si="44"/>
        <v>0</v>
      </c>
      <c r="R73" s="34">
        <f t="shared" si="45"/>
        <v>0</v>
      </c>
      <c r="S73" s="34">
        <f t="shared" si="46"/>
        <v>0</v>
      </c>
      <c r="T73" s="34">
        <f t="shared" si="47"/>
        <v>0</v>
      </c>
      <c r="U73" s="34">
        <f t="shared" si="48"/>
        <v>0</v>
      </c>
      <c r="V73" s="34">
        <f t="shared" si="49"/>
        <v>0</v>
      </c>
      <c r="W73" s="34">
        <f t="shared" si="50"/>
        <v>0</v>
      </c>
      <c r="X73" s="34">
        <f t="shared" si="51"/>
        <v>0</v>
      </c>
      <c r="Y73" s="26"/>
      <c r="Z73" s="17">
        <f t="shared" si="52"/>
        <v>0</v>
      </c>
      <c r="AA73" s="17">
        <f t="shared" si="53"/>
        <v>0</v>
      </c>
      <c r="AB73" s="17">
        <f t="shared" si="54"/>
        <v>0</v>
      </c>
      <c r="AD73" s="34">
        <v>21</v>
      </c>
      <c r="AE73" s="34">
        <f>G73*0.867417391304348</f>
        <v>0</v>
      </c>
      <c r="AF73" s="34">
        <f>G73*(1-0.867417391304348)</f>
        <v>0</v>
      </c>
      <c r="AG73" s="29" t="s">
        <v>13</v>
      </c>
      <c r="AM73" s="34">
        <f t="shared" si="55"/>
        <v>0</v>
      </c>
      <c r="AN73" s="34">
        <f t="shared" si="56"/>
        <v>0</v>
      </c>
      <c r="AO73" s="35" t="s">
        <v>337</v>
      </c>
      <c r="AP73" s="35" t="s">
        <v>344</v>
      </c>
      <c r="AQ73" s="26" t="s">
        <v>346</v>
      </c>
      <c r="AS73" s="34">
        <f t="shared" si="57"/>
        <v>0</v>
      </c>
      <c r="AT73" s="34">
        <f t="shared" si="58"/>
        <v>0</v>
      </c>
      <c r="AU73" s="34">
        <v>0</v>
      </c>
      <c r="AV73" s="34">
        <f t="shared" si="59"/>
        <v>0.01728</v>
      </c>
    </row>
    <row r="74" spans="1:48" ht="12.75">
      <c r="A74" s="4" t="s">
        <v>65</v>
      </c>
      <c r="B74" s="4"/>
      <c r="C74" s="4" t="s">
        <v>160</v>
      </c>
      <c r="D74" s="4" t="s">
        <v>258</v>
      </c>
      <c r="E74" s="4" t="s">
        <v>295</v>
      </c>
      <c r="F74" s="17">
        <v>7</v>
      </c>
      <c r="G74" s="17">
        <v>0</v>
      </c>
      <c r="H74" s="17">
        <f t="shared" si="40"/>
        <v>0</v>
      </c>
      <c r="I74" s="17">
        <f t="shared" si="41"/>
        <v>0</v>
      </c>
      <c r="J74" s="17">
        <f t="shared" si="42"/>
        <v>0</v>
      </c>
      <c r="K74" s="17">
        <v>0.02304</v>
      </c>
      <c r="L74" s="17">
        <f t="shared" si="43"/>
        <v>0.16128</v>
      </c>
      <c r="M74" s="29" t="s">
        <v>324</v>
      </c>
      <c r="P74" s="34">
        <f t="shared" si="44"/>
        <v>0</v>
      </c>
      <c r="R74" s="34">
        <f t="shared" si="45"/>
        <v>0</v>
      </c>
      <c r="S74" s="34">
        <f t="shared" si="46"/>
        <v>0</v>
      </c>
      <c r="T74" s="34">
        <f t="shared" si="47"/>
        <v>0</v>
      </c>
      <c r="U74" s="34">
        <f t="shared" si="48"/>
        <v>0</v>
      </c>
      <c r="V74" s="34">
        <f t="shared" si="49"/>
        <v>0</v>
      </c>
      <c r="W74" s="34">
        <f t="shared" si="50"/>
        <v>0</v>
      </c>
      <c r="X74" s="34">
        <f t="shared" si="51"/>
        <v>0</v>
      </c>
      <c r="Y74" s="26"/>
      <c r="Z74" s="17">
        <f t="shared" si="52"/>
        <v>0</v>
      </c>
      <c r="AA74" s="17">
        <f t="shared" si="53"/>
        <v>0</v>
      </c>
      <c r="AB74" s="17">
        <f t="shared" si="54"/>
        <v>0</v>
      </c>
      <c r="AD74" s="34">
        <v>21</v>
      </c>
      <c r="AE74" s="34">
        <f>G74*0.886277787307346</f>
        <v>0</v>
      </c>
      <c r="AF74" s="34">
        <f>G74*(1-0.886277787307346)</f>
        <v>0</v>
      </c>
      <c r="AG74" s="29" t="s">
        <v>13</v>
      </c>
      <c r="AM74" s="34">
        <f t="shared" si="55"/>
        <v>0</v>
      </c>
      <c r="AN74" s="34">
        <f t="shared" si="56"/>
        <v>0</v>
      </c>
      <c r="AO74" s="35" t="s">
        <v>337</v>
      </c>
      <c r="AP74" s="35" t="s">
        <v>344</v>
      </c>
      <c r="AQ74" s="26" t="s">
        <v>346</v>
      </c>
      <c r="AS74" s="34">
        <f t="shared" si="57"/>
        <v>0</v>
      </c>
      <c r="AT74" s="34">
        <f t="shared" si="58"/>
        <v>0</v>
      </c>
      <c r="AU74" s="34">
        <v>0</v>
      </c>
      <c r="AV74" s="34">
        <f t="shared" si="59"/>
        <v>0.16128</v>
      </c>
    </row>
    <row r="75" spans="1:48" ht="12.75">
      <c r="A75" s="4" t="s">
        <v>66</v>
      </c>
      <c r="B75" s="4"/>
      <c r="C75" s="4" t="s">
        <v>161</v>
      </c>
      <c r="D75" s="4" t="s">
        <v>259</v>
      </c>
      <c r="E75" s="4" t="s">
        <v>295</v>
      </c>
      <c r="F75" s="17">
        <v>2</v>
      </c>
      <c r="G75" s="17">
        <v>0</v>
      </c>
      <c r="H75" s="17">
        <f t="shared" si="40"/>
        <v>0</v>
      </c>
      <c r="I75" s="17">
        <f t="shared" si="41"/>
        <v>0</v>
      </c>
      <c r="J75" s="17">
        <f t="shared" si="42"/>
        <v>0</v>
      </c>
      <c r="K75" s="17">
        <v>0.02688</v>
      </c>
      <c r="L75" s="17">
        <f t="shared" si="43"/>
        <v>0.05376</v>
      </c>
      <c r="M75" s="29" t="s">
        <v>324</v>
      </c>
      <c r="P75" s="34">
        <f t="shared" si="44"/>
        <v>0</v>
      </c>
      <c r="R75" s="34">
        <f t="shared" si="45"/>
        <v>0</v>
      </c>
      <c r="S75" s="34">
        <f t="shared" si="46"/>
        <v>0</v>
      </c>
      <c r="T75" s="34">
        <f t="shared" si="47"/>
        <v>0</v>
      </c>
      <c r="U75" s="34">
        <f t="shared" si="48"/>
        <v>0</v>
      </c>
      <c r="V75" s="34">
        <f t="shared" si="49"/>
        <v>0</v>
      </c>
      <c r="W75" s="34">
        <f t="shared" si="50"/>
        <v>0</v>
      </c>
      <c r="X75" s="34">
        <f t="shared" si="51"/>
        <v>0</v>
      </c>
      <c r="Y75" s="26"/>
      <c r="Z75" s="17">
        <f t="shared" si="52"/>
        <v>0</v>
      </c>
      <c r="AA75" s="17">
        <f t="shared" si="53"/>
        <v>0</v>
      </c>
      <c r="AB75" s="17">
        <f t="shared" si="54"/>
        <v>0</v>
      </c>
      <c r="AD75" s="34">
        <v>21</v>
      </c>
      <c r="AE75" s="34">
        <f>G75*0.896547854785478</f>
        <v>0</v>
      </c>
      <c r="AF75" s="34">
        <f>G75*(1-0.896547854785478)</f>
        <v>0</v>
      </c>
      <c r="AG75" s="29" t="s">
        <v>13</v>
      </c>
      <c r="AM75" s="34">
        <f t="shared" si="55"/>
        <v>0</v>
      </c>
      <c r="AN75" s="34">
        <f t="shared" si="56"/>
        <v>0</v>
      </c>
      <c r="AO75" s="35" t="s">
        <v>337</v>
      </c>
      <c r="AP75" s="35" t="s">
        <v>344</v>
      </c>
      <c r="AQ75" s="26" t="s">
        <v>346</v>
      </c>
      <c r="AS75" s="34">
        <f t="shared" si="57"/>
        <v>0</v>
      </c>
      <c r="AT75" s="34">
        <f t="shared" si="58"/>
        <v>0</v>
      </c>
      <c r="AU75" s="34">
        <v>0</v>
      </c>
      <c r="AV75" s="34">
        <f t="shared" si="59"/>
        <v>0.05376</v>
      </c>
    </row>
    <row r="76" spans="1:48" ht="12.75">
      <c r="A76" s="4" t="s">
        <v>67</v>
      </c>
      <c r="B76" s="4"/>
      <c r="C76" s="4" t="s">
        <v>162</v>
      </c>
      <c r="D76" s="4" t="s">
        <v>260</v>
      </c>
      <c r="E76" s="4" t="s">
        <v>295</v>
      </c>
      <c r="F76" s="17">
        <v>1</v>
      </c>
      <c r="G76" s="17">
        <v>0</v>
      </c>
      <c r="H76" s="17">
        <f t="shared" si="40"/>
        <v>0</v>
      </c>
      <c r="I76" s="17">
        <f t="shared" si="41"/>
        <v>0</v>
      </c>
      <c r="J76" s="17">
        <f t="shared" si="42"/>
        <v>0</v>
      </c>
      <c r="K76" s="17">
        <v>0.01072</v>
      </c>
      <c r="L76" s="17">
        <f t="shared" si="43"/>
        <v>0.01072</v>
      </c>
      <c r="M76" s="29" t="s">
        <v>324</v>
      </c>
      <c r="P76" s="34">
        <f t="shared" si="44"/>
        <v>0</v>
      </c>
      <c r="R76" s="34">
        <f t="shared" si="45"/>
        <v>0</v>
      </c>
      <c r="S76" s="34">
        <f t="shared" si="46"/>
        <v>0</v>
      </c>
      <c r="T76" s="34">
        <f t="shared" si="47"/>
        <v>0</v>
      </c>
      <c r="U76" s="34">
        <f t="shared" si="48"/>
        <v>0</v>
      </c>
      <c r="V76" s="34">
        <f t="shared" si="49"/>
        <v>0</v>
      </c>
      <c r="W76" s="34">
        <f t="shared" si="50"/>
        <v>0</v>
      </c>
      <c r="X76" s="34">
        <f t="shared" si="51"/>
        <v>0</v>
      </c>
      <c r="Y76" s="26"/>
      <c r="Z76" s="17">
        <f t="shared" si="52"/>
        <v>0</v>
      </c>
      <c r="AA76" s="17">
        <f t="shared" si="53"/>
        <v>0</v>
      </c>
      <c r="AB76" s="17">
        <f t="shared" si="54"/>
        <v>0</v>
      </c>
      <c r="AD76" s="34">
        <v>21</v>
      </c>
      <c r="AE76" s="34">
        <f>G76*0.849118246687054</f>
        <v>0</v>
      </c>
      <c r="AF76" s="34">
        <f>G76*(1-0.849118246687054)</f>
        <v>0</v>
      </c>
      <c r="AG76" s="29" t="s">
        <v>13</v>
      </c>
      <c r="AM76" s="34">
        <f t="shared" si="55"/>
        <v>0</v>
      </c>
      <c r="AN76" s="34">
        <f t="shared" si="56"/>
        <v>0</v>
      </c>
      <c r="AO76" s="35" t="s">
        <v>337</v>
      </c>
      <c r="AP76" s="35" t="s">
        <v>344</v>
      </c>
      <c r="AQ76" s="26" t="s">
        <v>346</v>
      </c>
      <c r="AS76" s="34">
        <f t="shared" si="57"/>
        <v>0</v>
      </c>
      <c r="AT76" s="34">
        <f t="shared" si="58"/>
        <v>0</v>
      </c>
      <c r="AU76" s="34">
        <v>0</v>
      </c>
      <c r="AV76" s="34">
        <f t="shared" si="59"/>
        <v>0.01072</v>
      </c>
    </row>
    <row r="77" spans="1:48" ht="12.75">
      <c r="A77" s="4" t="s">
        <v>68</v>
      </c>
      <c r="B77" s="4"/>
      <c r="C77" s="4" t="s">
        <v>163</v>
      </c>
      <c r="D77" s="4" t="s">
        <v>261</v>
      </c>
      <c r="E77" s="4" t="s">
        <v>295</v>
      </c>
      <c r="F77" s="17">
        <v>2</v>
      </c>
      <c r="G77" s="17">
        <v>0</v>
      </c>
      <c r="H77" s="17">
        <f t="shared" si="40"/>
        <v>0</v>
      </c>
      <c r="I77" s="17">
        <f t="shared" si="41"/>
        <v>0</v>
      </c>
      <c r="J77" s="17">
        <f t="shared" si="42"/>
        <v>0</v>
      </c>
      <c r="K77" s="17">
        <v>0.01429</v>
      </c>
      <c r="L77" s="17">
        <f t="shared" si="43"/>
        <v>0.02858</v>
      </c>
      <c r="M77" s="29" t="s">
        <v>324</v>
      </c>
      <c r="P77" s="34">
        <f t="shared" si="44"/>
        <v>0</v>
      </c>
      <c r="R77" s="34">
        <f t="shared" si="45"/>
        <v>0</v>
      </c>
      <c r="S77" s="34">
        <f t="shared" si="46"/>
        <v>0</v>
      </c>
      <c r="T77" s="34">
        <f t="shared" si="47"/>
        <v>0</v>
      </c>
      <c r="U77" s="34">
        <f t="shared" si="48"/>
        <v>0</v>
      </c>
      <c r="V77" s="34">
        <f t="shared" si="49"/>
        <v>0</v>
      </c>
      <c r="W77" s="34">
        <f t="shared" si="50"/>
        <v>0</v>
      </c>
      <c r="X77" s="34">
        <f t="shared" si="51"/>
        <v>0</v>
      </c>
      <c r="Y77" s="26"/>
      <c r="Z77" s="17">
        <f t="shared" si="52"/>
        <v>0</v>
      </c>
      <c r="AA77" s="17">
        <f t="shared" si="53"/>
        <v>0</v>
      </c>
      <c r="AB77" s="17">
        <f t="shared" si="54"/>
        <v>0</v>
      </c>
      <c r="AD77" s="34">
        <v>21</v>
      </c>
      <c r="AE77" s="34">
        <f>G77*0.865311417516137</f>
        <v>0</v>
      </c>
      <c r="AF77" s="34">
        <f>G77*(1-0.865311417516137)</f>
        <v>0</v>
      </c>
      <c r="AG77" s="29" t="s">
        <v>13</v>
      </c>
      <c r="AM77" s="34">
        <f t="shared" si="55"/>
        <v>0</v>
      </c>
      <c r="AN77" s="34">
        <f t="shared" si="56"/>
        <v>0</v>
      </c>
      <c r="AO77" s="35" t="s">
        <v>337</v>
      </c>
      <c r="AP77" s="35" t="s">
        <v>344</v>
      </c>
      <c r="AQ77" s="26" t="s">
        <v>346</v>
      </c>
      <c r="AS77" s="34">
        <f t="shared" si="57"/>
        <v>0</v>
      </c>
      <c r="AT77" s="34">
        <f t="shared" si="58"/>
        <v>0</v>
      </c>
      <c r="AU77" s="34">
        <v>0</v>
      </c>
      <c r="AV77" s="34">
        <f t="shared" si="59"/>
        <v>0.02858</v>
      </c>
    </row>
    <row r="78" spans="1:48" ht="12.75">
      <c r="A78" s="4" t="s">
        <v>69</v>
      </c>
      <c r="B78" s="4"/>
      <c r="C78" s="4" t="s">
        <v>164</v>
      </c>
      <c r="D78" s="4" t="s">
        <v>262</v>
      </c>
      <c r="E78" s="4" t="s">
        <v>295</v>
      </c>
      <c r="F78" s="17">
        <v>4</v>
      </c>
      <c r="G78" s="17">
        <v>0</v>
      </c>
      <c r="H78" s="17">
        <f t="shared" si="40"/>
        <v>0</v>
      </c>
      <c r="I78" s="17">
        <f t="shared" si="41"/>
        <v>0</v>
      </c>
      <c r="J78" s="17">
        <f t="shared" si="42"/>
        <v>0</v>
      </c>
      <c r="K78" s="17">
        <v>0.01608</v>
      </c>
      <c r="L78" s="17">
        <f t="shared" si="43"/>
        <v>0.06432</v>
      </c>
      <c r="M78" s="29" t="s">
        <v>324</v>
      </c>
      <c r="P78" s="34">
        <f t="shared" si="44"/>
        <v>0</v>
      </c>
      <c r="R78" s="34">
        <f t="shared" si="45"/>
        <v>0</v>
      </c>
      <c r="S78" s="34">
        <f t="shared" si="46"/>
        <v>0</v>
      </c>
      <c r="T78" s="34">
        <f t="shared" si="47"/>
        <v>0</v>
      </c>
      <c r="U78" s="34">
        <f t="shared" si="48"/>
        <v>0</v>
      </c>
      <c r="V78" s="34">
        <f t="shared" si="49"/>
        <v>0</v>
      </c>
      <c r="W78" s="34">
        <f t="shared" si="50"/>
        <v>0</v>
      </c>
      <c r="X78" s="34">
        <f t="shared" si="51"/>
        <v>0</v>
      </c>
      <c r="Y78" s="26"/>
      <c r="Z78" s="17">
        <f t="shared" si="52"/>
        <v>0</v>
      </c>
      <c r="AA78" s="17">
        <f t="shared" si="53"/>
        <v>0</v>
      </c>
      <c r="AB78" s="17">
        <f t="shared" si="54"/>
        <v>0</v>
      </c>
      <c r="AD78" s="34">
        <v>21</v>
      </c>
      <c r="AE78" s="34">
        <f>G78*0.873301384316168</f>
        <v>0</v>
      </c>
      <c r="AF78" s="34">
        <f>G78*(1-0.873301384316168)</f>
        <v>0</v>
      </c>
      <c r="AG78" s="29" t="s">
        <v>13</v>
      </c>
      <c r="AM78" s="34">
        <f t="shared" si="55"/>
        <v>0</v>
      </c>
      <c r="AN78" s="34">
        <f t="shared" si="56"/>
        <v>0</v>
      </c>
      <c r="AO78" s="35" t="s">
        <v>337</v>
      </c>
      <c r="AP78" s="35" t="s">
        <v>344</v>
      </c>
      <c r="AQ78" s="26" t="s">
        <v>346</v>
      </c>
      <c r="AS78" s="34">
        <f t="shared" si="57"/>
        <v>0</v>
      </c>
      <c r="AT78" s="34">
        <f t="shared" si="58"/>
        <v>0</v>
      </c>
      <c r="AU78" s="34">
        <v>0</v>
      </c>
      <c r="AV78" s="34">
        <f t="shared" si="59"/>
        <v>0.06432</v>
      </c>
    </row>
    <row r="79" spans="1:48" ht="12.75">
      <c r="A79" s="4" t="s">
        <v>70</v>
      </c>
      <c r="B79" s="4"/>
      <c r="C79" s="4" t="s">
        <v>165</v>
      </c>
      <c r="D79" s="4" t="s">
        <v>263</v>
      </c>
      <c r="E79" s="4" t="s">
        <v>295</v>
      </c>
      <c r="F79" s="17">
        <v>6</v>
      </c>
      <c r="G79" s="17">
        <v>0</v>
      </c>
      <c r="H79" s="17">
        <f t="shared" si="40"/>
        <v>0</v>
      </c>
      <c r="I79" s="17">
        <f t="shared" si="41"/>
        <v>0</v>
      </c>
      <c r="J79" s="17">
        <f t="shared" si="42"/>
        <v>0</v>
      </c>
      <c r="K79" s="17">
        <v>0.01965</v>
      </c>
      <c r="L79" s="17">
        <f t="shared" si="43"/>
        <v>0.1179</v>
      </c>
      <c r="M79" s="29" t="s">
        <v>324</v>
      </c>
      <c r="P79" s="34">
        <f t="shared" si="44"/>
        <v>0</v>
      </c>
      <c r="R79" s="34">
        <f t="shared" si="45"/>
        <v>0</v>
      </c>
      <c r="S79" s="34">
        <f t="shared" si="46"/>
        <v>0</v>
      </c>
      <c r="T79" s="34">
        <f t="shared" si="47"/>
        <v>0</v>
      </c>
      <c r="U79" s="34">
        <f t="shared" si="48"/>
        <v>0</v>
      </c>
      <c r="V79" s="34">
        <f t="shared" si="49"/>
        <v>0</v>
      </c>
      <c r="W79" s="34">
        <f t="shared" si="50"/>
        <v>0</v>
      </c>
      <c r="X79" s="34">
        <f t="shared" si="51"/>
        <v>0</v>
      </c>
      <c r="Y79" s="26"/>
      <c r="Z79" s="17">
        <f t="shared" si="52"/>
        <v>0</v>
      </c>
      <c r="AA79" s="17">
        <f t="shared" si="53"/>
        <v>0</v>
      </c>
      <c r="AB79" s="17">
        <f t="shared" si="54"/>
        <v>0</v>
      </c>
      <c r="AD79" s="34">
        <v>21</v>
      </c>
      <c r="AE79" s="34">
        <f>G79*0.884379027231253</f>
        <v>0</v>
      </c>
      <c r="AF79" s="34">
        <f>G79*(1-0.884379027231253)</f>
        <v>0</v>
      </c>
      <c r="AG79" s="29" t="s">
        <v>13</v>
      </c>
      <c r="AM79" s="34">
        <f t="shared" si="55"/>
        <v>0</v>
      </c>
      <c r="AN79" s="34">
        <f t="shared" si="56"/>
        <v>0</v>
      </c>
      <c r="AO79" s="35" t="s">
        <v>337</v>
      </c>
      <c r="AP79" s="35" t="s">
        <v>344</v>
      </c>
      <c r="AQ79" s="26" t="s">
        <v>346</v>
      </c>
      <c r="AS79" s="34">
        <f t="shared" si="57"/>
        <v>0</v>
      </c>
      <c r="AT79" s="34">
        <f t="shared" si="58"/>
        <v>0</v>
      </c>
      <c r="AU79" s="34">
        <v>0</v>
      </c>
      <c r="AV79" s="34">
        <f t="shared" si="59"/>
        <v>0.1179</v>
      </c>
    </row>
    <row r="80" spans="1:48" ht="12.75">
      <c r="A80" s="4" t="s">
        <v>71</v>
      </c>
      <c r="B80" s="4"/>
      <c r="C80" s="4" t="s">
        <v>166</v>
      </c>
      <c r="D80" s="4" t="s">
        <v>264</v>
      </c>
      <c r="E80" s="4" t="s">
        <v>295</v>
      </c>
      <c r="F80" s="17">
        <v>4</v>
      </c>
      <c r="G80" s="17">
        <v>0</v>
      </c>
      <c r="H80" s="17">
        <f t="shared" si="40"/>
        <v>0</v>
      </c>
      <c r="I80" s="17">
        <f t="shared" si="41"/>
        <v>0</v>
      </c>
      <c r="J80" s="17">
        <f t="shared" si="42"/>
        <v>0</v>
      </c>
      <c r="K80" s="17">
        <v>0.02501</v>
      </c>
      <c r="L80" s="17">
        <f t="shared" si="43"/>
        <v>0.10004</v>
      </c>
      <c r="M80" s="29" t="s">
        <v>324</v>
      </c>
      <c r="P80" s="34">
        <f t="shared" si="44"/>
        <v>0</v>
      </c>
      <c r="R80" s="34">
        <f t="shared" si="45"/>
        <v>0</v>
      </c>
      <c r="S80" s="34">
        <f t="shared" si="46"/>
        <v>0</v>
      </c>
      <c r="T80" s="34">
        <f t="shared" si="47"/>
        <v>0</v>
      </c>
      <c r="U80" s="34">
        <f t="shared" si="48"/>
        <v>0</v>
      </c>
      <c r="V80" s="34">
        <f t="shared" si="49"/>
        <v>0</v>
      </c>
      <c r="W80" s="34">
        <f t="shared" si="50"/>
        <v>0</v>
      </c>
      <c r="X80" s="34">
        <f t="shared" si="51"/>
        <v>0</v>
      </c>
      <c r="Y80" s="26"/>
      <c r="Z80" s="17">
        <f t="shared" si="52"/>
        <v>0</v>
      </c>
      <c r="AA80" s="17">
        <f t="shared" si="53"/>
        <v>0</v>
      </c>
      <c r="AB80" s="17">
        <f t="shared" si="54"/>
        <v>0</v>
      </c>
      <c r="AD80" s="34">
        <v>21</v>
      </c>
      <c r="AE80" s="34">
        <f>G80*0.898565121046109</f>
        <v>0</v>
      </c>
      <c r="AF80" s="34">
        <f>G80*(1-0.898565121046109)</f>
        <v>0</v>
      </c>
      <c r="AG80" s="29" t="s">
        <v>13</v>
      </c>
      <c r="AM80" s="34">
        <f t="shared" si="55"/>
        <v>0</v>
      </c>
      <c r="AN80" s="34">
        <f t="shared" si="56"/>
        <v>0</v>
      </c>
      <c r="AO80" s="35" t="s">
        <v>337</v>
      </c>
      <c r="AP80" s="35" t="s">
        <v>344</v>
      </c>
      <c r="AQ80" s="26" t="s">
        <v>346</v>
      </c>
      <c r="AS80" s="34">
        <f t="shared" si="57"/>
        <v>0</v>
      </c>
      <c r="AT80" s="34">
        <f t="shared" si="58"/>
        <v>0</v>
      </c>
      <c r="AU80" s="34">
        <v>0</v>
      </c>
      <c r="AV80" s="34">
        <f t="shared" si="59"/>
        <v>0.10004</v>
      </c>
    </row>
    <row r="81" spans="1:48" ht="12.75">
      <c r="A81" s="4" t="s">
        <v>72</v>
      </c>
      <c r="B81" s="4"/>
      <c r="C81" s="4" t="s">
        <v>167</v>
      </c>
      <c r="D81" s="4" t="s">
        <v>265</v>
      </c>
      <c r="E81" s="4" t="s">
        <v>295</v>
      </c>
      <c r="F81" s="17">
        <v>1</v>
      </c>
      <c r="G81" s="17">
        <v>0</v>
      </c>
      <c r="H81" s="17">
        <f t="shared" si="40"/>
        <v>0</v>
      </c>
      <c r="I81" s="17">
        <f t="shared" si="41"/>
        <v>0</v>
      </c>
      <c r="J81" s="17">
        <f t="shared" si="42"/>
        <v>0</v>
      </c>
      <c r="K81" s="17">
        <v>0.02859</v>
      </c>
      <c r="L81" s="17">
        <f t="shared" si="43"/>
        <v>0.02859</v>
      </c>
      <c r="M81" s="29" t="s">
        <v>324</v>
      </c>
      <c r="P81" s="34">
        <f t="shared" si="44"/>
        <v>0</v>
      </c>
      <c r="R81" s="34">
        <f t="shared" si="45"/>
        <v>0</v>
      </c>
      <c r="S81" s="34">
        <f t="shared" si="46"/>
        <v>0</v>
      </c>
      <c r="T81" s="34">
        <f t="shared" si="47"/>
        <v>0</v>
      </c>
      <c r="U81" s="34">
        <f t="shared" si="48"/>
        <v>0</v>
      </c>
      <c r="V81" s="34">
        <f t="shared" si="49"/>
        <v>0</v>
      </c>
      <c r="W81" s="34">
        <f t="shared" si="50"/>
        <v>0</v>
      </c>
      <c r="X81" s="34">
        <f t="shared" si="51"/>
        <v>0</v>
      </c>
      <c r="Y81" s="26"/>
      <c r="Z81" s="17">
        <f t="shared" si="52"/>
        <v>0</v>
      </c>
      <c r="AA81" s="17">
        <f t="shared" si="53"/>
        <v>0</v>
      </c>
      <c r="AB81" s="17">
        <f t="shared" si="54"/>
        <v>0</v>
      </c>
      <c r="AD81" s="34">
        <v>21</v>
      </c>
      <c r="AE81" s="34">
        <f>G81*0.895335347432024</f>
        <v>0</v>
      </c>
      <c r="AF81" s="34">
        <f>G81*(1-0.895335347432024)</f>
        <v>0</v>
      </c>
      <c r="AG81" s="29" t="s">
        <v>13</v>
      </c>
      <c r="AM81" s="34">
        <f t="shared" si="55"/>
        <v>0</v>
      </c>
      <c r="AN81" s="34">
        <f t="shared" si="56"/>
        <v>0</v>
      </c>
      <c r="AO81" s="35" t="s">
        <v>337</v>
      </c>
      <c r="AP81" s="35" t="s">
        <v>344</v>
      </c>
      <c r="AQ81" s="26" t="s">
        <v>346</v>
      </c>
      <c r="AS81" s="34">
        <f t="shared" si="57"/>
        <v>0</v>
      </c>
      <c r="AT81" s="34">
        <f t="shared" si="58"/>
        <v>0</v>
      </c>
      <c r="AU81" s="34">
        <v>0</v>
      </c>
      <c r="AV81" s="34">
        <f t="shared" si="59"/>
        <v>0.02859</v>
      </c>
    </row>
    <row r="82" spans="1:48" ht="12.75">
      <c r="A82" s="4" t="s">
        <v>73</v>
      </c>
      <c r="B82" s="4"/>
      <c r="C82" s="4" t="s">
        <v>168</v>
      </c>
      <c r="D82" s="4" t="s">
        <v>266</v>
      </c>
      <c r="E82" s="4" t="s">
        <v>295</v>
      </c>
      <c r="F82" s="17">
        <v>1</v>
      </c>
      <c r="G82" s="17">
        <v>0</v>
      </c>
      <c r="H82" s="17">
        <f t="shared" si="40"/>
        <v>0</v>
      </c>
      <c r="I82" s="17">
        <f t="shared" si="41"/>
        <v>0</v>
      </c>
      <c r="J82" s="17">
        <f t="shared" si="42"/>
        <v>0</v>
      </c>
      <c r="K82" s="17">
        <v>0.02624</v>
      </c>
      <c r="L82" s="17">
        <f t="shared" si="43"/>
        <v>0.02624</v>
      </c>
      <c r="M82" s="29" t="s">
        <v>324</v>
      </c>
      <c r="P82" s="34">
        <f t="shared" si="44"/>
        <v>0</v>
      </c>
      <c r="R82" s="34">
        <f t="shared" si="45"/>
        <v>0</v>
      </c>
      <c r="S82" s="34">
        <f t="shared" si="46"/>
        <v>0</v>
      </c>
      <c r="T82" s="34">
        <f t="shared" si="47"/>
        <v>0</v>
      </c>
      <c r="U82" s="34">
        <f t="shared" si="48"/>
        <v>0</v>
      </c>
      <c r="V82" s="34">
        <f t="shared" si="49"/>
        <v>0</v>
      </c>
      <c r="W82" s="34">
        <f t="shared" si="50"/>
        <v>0</v>
      </c>
      <c r="X82" s="34">
        <f t="shared" si="51"/>
        <v>0</v>
      </c>
      <c r="Y82" s="26"/>
      <c r="Z82" s="17">
        <f t="shared" si="52"/>
        <v>0</v>
      </c>
      <c r="AA82" s="17">
        <f t="shared" si="53"/>
        <v>0</v>
      </c>
      <c r="AB82" s="17">
        <f t="shared" si="54"/>
        <v>0</v>
      </c>
      <c r="AD82" s="34">
        <v>21</v>
      </c>
      <c r="AE82" s="34">
        <f>G82*0.9024192</f>
        <v>0</v>
      </c>
      <c r="AF82" s="34">
        <f>G82*(1-0.9024192)</f>
        <v>0</v>
      </c>
      <c r="AG82" s="29" t="s">
        <v>13</v>
      </c>
      <c r="AM82" s="34">
        <f t="shared" si="55"/>
        <v>0</v>
      </c>
      <c r="AN82" s="34">
        <f t="shared" si="56"/>
        <v>0</v>
      </c>
      <c r="AO82" s="35" t="s">
        <v>337</v>
      </c>
      <c r="AP82" s="35" t="s">
        <v>344</v>
      </c>
      <c r="AQ82" s="26" t="s">
        <v>346</v>
      </c>
      <c r="AS82" s="34">
        <f t="shared" si="57"/>
        <v>0</v>
      </c>
      <c r="AT82" s="34">
        <f t="shared" si="58"/>
        <v>0</v>
      </c>
      <c r="AU82" s="34">
        <v>0</v>
      </c>
      <c r="AV82" s="34">
        <f t="shared" si="59"/>
        <v>0.02624</v>
      </c>
    </row>
    <row r="83" spans="1:48" ht="12.75">
      <c r="A83" s="4" t="s">
        <v>74</v>
      </c>
      <c r="B83" s="4"/>
      <c r="C83" s="4" t="s">
        <v>169</v>
      </c>
      <c r="D83" s="4" t="s">
        <v>267</v>
      </c>
      <c r="E83" s="4" t="s">
        <v>295</v>
      </c>
      <c r="F83" s="17">
        <v>1</v>
      </c>
      <c r="G83" s="17">
        <v>0</v>
      </c>
      <c r="H83" s="17">
        <f t="shared" si="40"/>
        <v>0</v>
      </c>
      <c r="I83" s="17">
        <f t="shared" si="41"/>
        <v>0</v>
      </c>
      <c r="J83" s="17">
        <f t="shared" si="42"/>
        <v>0</v>
      </c>
      <c r="K83" s="17">
        <v>0.0328</v>
      </c>
      <c r="L83" s="17">
        <f t="shared" si="43"/>
        <v>0.0328</v>
      </c>
      <c r="M83" s="29" t="s">
        <v>324</v>
      </c>
      <c r="P83" s="34">
        <f t="shared" si="44"/>
        <v>0</v>
      </c>
      <c r="R83" s="34">
        <f t="shared" si="45"/>
        <v>0</v>
      </c>
      <c r="S83" s="34">
        <f t="shared" si="46"/>
        <v>0</v>
      </c>
      <c r="T83" s="34">
        <f t="shared" si="47"/>
        <v>0</v>
      </c>
      <c r="U83" s="34">
        <f t="shared" si="48"/>
        <v>0</v>
      </c>
      <c r="V83" s="34">
        <f t="shared" si="49"/>
        <v>0</v>
      </c>
      <c r="W83" s="34">
        <f t="shared" si="50"/>
        <v>0</v>
      </c>
      <c r="X83" s="34">
        <f t="shared" si="51"/>
        <v>0</v>
      </c>
      <c r="Y83" s="26"/>
      <c r="Z83" s="17">
        <f t="shared" si="52"/>
        <v>0</v>
      </c>
      <c r="AA83" s="17">
        <f t="shared" si="53"/>
        <v>0</v>
      </c>
      <c r="AB83" s="17">
        <f t="shared" si="54"/>
        <v>0</v>
      </c>
      <c r="AD83" s="34">
        <v>21</v>
      </c>
      <c r="AE83" s="34">
        <f>G83*0.913213824006155</f>
        <v>0</v>
      </c>
      <c r="AF83" s="34">
        <f>G83*(1-0.913213824006155)</f>
        <v>0</v>
      </c>
      <c r="AG83" s="29" t="s">
        <v>13</v>
      </c>
      <c r="AM83" s="34">
        <f t="shared" si="55"/>
        <v>0</v>
      </c>
      <c r="AN83" s="34">
        <f t="shared" si="56"/>
        <v>0</v>
      </c>
      <c r="AO83" s="35" t="s">
        <v>337</v>
      </c>
      <c r="AP83" s="35" t="s">
        <v>344</v>
      </c>
      <c r="AQ83" s="26" t="s">
        <v>346</v>
      </c>
      <c r="AS83" s="34">
        <f t="shared" si="57"/>
        <v>0</v>
      </c>
      <c r="AT83" s="34">
        <f t="shared" si="58"/>
        <v>0</v>
      </c>
      <c r="AU83" s="34">
        <v>0</v>
      </c>
      <c r="AV83" s="34">
        <f t="shared" si="59"/>
        <v>0.0328</v>
      </c>
    </row>
    <row r="84" spans="1:48" ht="12.75">
      <c r="A84" s="4" t="s">
        <v>75</v>
      </c>
      <c r="B84" s="4"/>
      <c r="C84" s="4" t="s">
        <v>170</v>
      </c>
      <c r="D84" s="4" t="s">
        <v>268</v>
      </c>
      <c r="E84" s="4" t="s">
        <v>295</v>
      </c>
      <c r="F84" s="17">
        <v>15</v>
      </c>
      <c r="G84" s="17">
        <v>0</v>
      </c>
      <c r="H84" s="17">
        <f t="shared" si="40"/>
        <v>0</v>
      </c>
      <c r="I84" s="17">
        <f t="shared" si="41"/>
        <v>0</v>
      </c>
      <c r="J84" s="17">
        <f t="shared" si="42"/>
        <v>0</v>
      </c>
      <c r="K84" s="17">
        <v>0.05248</v>
      </c>
      <c r="L84" s="17">
        <f t="shared" si="43"/>
        <v>0.7872</v>
      </c>
      <c r="M84" s="29" t="s">
        <v>324</v>
      </c>
      <c r="P84" s="34">
        <f t="shared" si="44"/>
        <v>0</v>
      </c>
      <c r="R84" s="34">
        <f t="shared" si="45"/>
        <v>0</v>
      </c>
      <c r="S84" s="34">
        <f t="shared" si="46"/>
        <v>0</v>
      </c>
      <c r="T84" s="34">
        <f t="shared" si="47"/>
        <v>0</v>
      </c>
      <c r="U84" s="34">
        <f t="shared" si="48"/>
        <v>0</v>
      </c>
      <c r="V84" s="34">
        <f t="shared" si="49"/>
        <v>0</v>
      </c>
      <c r="W84" s="34">
        <f t="shared" si="50"/>
        <v>0</v>
      </c>
      <c r="X84" s="34">
        <f t="shared" si="51"/>
        <v>0</v>
      </c>
      <c r="Y84" s="26"/>
      <c r="Z84" s="17">
        <f t="shared" si="52"/>
        <v>0</v>
      </c>
      <c r="AA84" s="17">
        <f t="shared" si="53"/>
        <v>0</v>
      </c>
      <c r="AB84" s="17">
        <f t="shared" si="54"/>
        <v>0</v>
      </c>
      <c r="AD84" s="34">
        <v>21</v>
      </c>
      <c r="AE84" s="34">
        <f>G84*0.925891891891892</f>
        <v>0</v>
      </c>
      <c r="AF84" s="34">
        <f>G84*(1-0.925891891891892)</f>
        <v>0</v>
      </c>
      <c r="AG84" s="29" t="s">
        <v>13</v>
      </c>
      <c r="AM84" s="34">
        <f t="shared" si="55"/>
        <v>0</v>
      </c>
      <c r="AN84" s="34">
        <f t="shared" si="56"/>
        <v>0</v>
      </c>
      <c r="AO84" s="35" t="s">
        <v>337</v>
      </c>
      <c r="AP84" s="35" t="s">
        <v>344</v>
      </c>
      <c r="AQ84" s="26" t="s">
        <v>346</v>
      </c>
      <c r="AS84" s="34">
        <f t="shared" si="57"/>
        <v>0</v>
      </c>
      <c r="AT84" s="34">
        <f t="shared" si="58"/>
        <v>0</v>
      </c>
      <c r="AU84" s="34">
        <v>0</v>
      </c>
      <c r="AV84" s="34">
        <f t="shared" si="59"/>
        <v>0.7872</v>
      </c>
    </row>
    <row r="85" spans="1:48" ht="12.75">
      <c r="A85" s="4" t="s">
        <v>76</v>
      </c>
      <c r="B85" s="4"/>
      <c r="C85" s="4" t="s">
        <v>171</v>
      </c>
      <c r="D85" s="4" t="s">
        <v>269</v>
      </c>
      <c r="E85" s="4" t="s">
        <v>295</v>
      </c>
      <c r="F85" s="17">
        <v>1</v>
      </c>
      <c r="G85" s="17">
        <v>0</v>
      </c>
      <c r="H85" s="17">
        <f t="shared" si="40"/>
        <v>0</v>
      </c>
      <c r="I85" s="17">
        <f t="shared" si="41"/>
        <v>0</v>
      </c>
      <c r="J85" s="17">
        <f t="shared" si="42"/>
        <v>0</v>
      </c>
      <c r="K85" s="17">
        <v>0.02553</v>
      </c>
      <c r="L85" s="17">
        <f t="shared" si="43"/>
        <v>0.02553</v>
      </c>
      <c r="M85" s="29" t="s">
        <v>324</v>
      </c>
      <c r="P85" s="34">
        <f t="shared" si="44"/>
        <v>0</v>
      </c>
      <c r="R85" s="34">
        <f t="shared" si="45"/>
        <v>0</v>
      </c>
      <c r="S85" s="34">
        <f t="shared" si="46"/>
        <v>0</v>
      </c>
      <c r="T85" s="34">
        <f t="shared" si="47"/>
        <v>0</v>
      </c>
      <c r="U85" s="34">
        <f t="shared" si="48"/>
        <v>0</v>
      </c>
      <c r="V85" s="34">
        <f t="shared" si="49"/>
        <v>0</v>
      </c>
      <c r="W85" s="34">
        <f t="shared" si="50"/>
        <v>0</v>
      </c>
      <c r="X85" s="34">
        <f t="shared" si="51"/>
        <v>0</v>
      </c>
      <c r="Y85" s="26"/>
      <c r="Z85" s="17">
        <f t="shared" si="52"/>
        <v>0</v>
      </c>
      <c r="AA85" s="17">
        <f t="shared" si="53"/>
        <v>0</v>
      </c>
      <c r="AB85" s="17">
        <f t="shared" si="54"/>
        <v>0</v>
      </c>
      <c r="AD85" s="34">
        <v>21</v>
      </c>
      <c r="AE85" s="34">
        <f>G85*0.89278997674186</f>
        <v>0</v>
      </c>
      <c r="AF85" s="34">
        <f>G85*(1-0.89278997674186)</f>
        <v>0</v>
      </c>
      <c r="AG85" s="29" t="s">
        <v>13</v>
      </c>
      <c r="AM85" s="34">
        <f t="shared" si="55"/>
        <v>0</v>
      </c>
      <c r="AN85" s="34">
        <f t="shared" si="56"/>
        <v>0</v>
      </c>
      <c r="AO85" s="35" t="s">
        <v>337</v>
      </c>
      <c r="AP85" s="35" t="s">
        <v>344</v>
      </c>
      <c r="AQ85" s="26" t="s">
        <v>346</v>
      </c>
      <c r="AS85" s="34">
        <f t="shared" si="57"/>
        <v>0</v>
      </c>
      <c r="AT85" s="34">
        <f t="shared" si="58"/>
        <v>0</v>
      </c>
      <c r="AU85" s="34">
        <v>0</v>
      </c>
      <c r="AV85" s="34">
        <f t="shared" si="59"/>
        <v>0.02553</v>
      </c>
    </row>
    <row r="86" spans="1:48" ht="12.75">
      <c r="A86" s="4" t="s">
        <v>77</v>
      </c>
      <c r="B86" s="4"/>
      <c r="C86" s="4" t="s">
        <v>172</v>
      </c>
      <c r="D86" s="4" t="s">
        <v>270</v>
      </c>
      <c r="E86" s="4" t="s">
        <v>295</v>
      </c>
      <c r="F86" s="17">
        <v>1</v>
      </c>
      <c r="G86" s="17">
        <v>0</v>
      </c>
      <c r="H86" s="17">
        <f t="shared" si="40"/>
        <v>0</v>
      </c>
      <c r="I86" s="17">
        <f t="shared" si="41"/>
        <v>0</v>
      </c>
      <c r="J86" s="17">
        <f t="shared" si="42"/>
        <v>0</v>
      </c>
      <c r="K86" s="17">
        <v>0.02808</v>
      </c>
      <c r="L86" s="17">
        <f t="shared" si="43"/>
        <v>0.02808</v>
      </c>
      <c r="M86" s="29" t="s">
        <v>324</v>
      </c>
      <c r="P86" s="34">
        <f t="shared" si="44"/>
        <v>0</v>
      </c>
      <c r="R86" s="34">
        <f t="shared" si="45"/>
        <v>0</v>
      </c>
      <c r="S86" s="34">
        <f t="shared" si="46"/>
        <v>0</v>
      </c>
      <c r="T86" s="34">
        <f t="shared" si="47"/>
        <v>0</v>
      </c>
      <c r="U86" s="34">
        <f t="shared" si="48"/>
        <v>0</v>
      </c>
      <c r="V86" s="34">
        <f t="shared" si="49"/>
        <v>0</v>
      </c>
      <c r="W86" s="34">
        <f t="shared" si="50"/>
        <v>0</v>
      </c>
      <c r="X86" s="34">
        <f t="shared" si="51"/>
        <v>0</v>
      </c>
      <c r="Y86" s="26"/>
      <c r="Z86" s="17">
        <f t="shared" si="52"/>
        <v>0</v>
      </c>
      <c r="AA86" s="17">
        <f t="shared" si="53"/>
        <v>0</v>
      </c>
      <c r="AB86" s="17">
        <f t="shared" si="54"/>
        <v>0</v>
      </c>
      <c r="AD86" s="34">
        <v>21</v>
      </c>
      <c r="AE86" s="34">
        <f>G86*0.897298307192365</f>
        <v>0</v>
      </c>
      <c r="AF86" s="34">
        <f>G86*(1-0.897298307192365)</f>
        <v>0</v>
      </c>
      <c r="AG86" s="29" t="s">
        <v>13</v>
      </c>
      <c r="AM86" s="34">
        <f t="shared" si="55"/>
        <v>0</v>
      </c>
      <c r="AN86" s="34">
        <f t="shared" si="56"/>
        <v>0</v>
      </c>
      <c r="AO86" s="35" t="s">
        <v>337</v>
      </c>
      <c r="AP86" s="35" t="s">
        <v>344</v>
      </c>
      <c r="AQ86" s="26" t="s">
        <v>346</v>
      </c>
      <c r="AS86" s="34">
        <f t="shared" si="57"/>
        <v>0</v>
      </c>
      <c r="AT86" s="34">
        <f t="shared" si="58"/>
        <v>0</v>
      </c>
      <c r="AU86" s="34">
        <v>0</v>
      </c>
      <c r="AV86" s="34">
        <f t="shared" si="59"/>
        <v>0.02808</v>
      </c>
    </row>
    <row r="87" spans="1:48" ht="12.75">
      <c r="A87" s="4" t="s">
        <v>78</v>
      </c>
      <c r="B87" s="4"/>
      <c r="C87" s="4" t="s">
        <v>173</v>
      </c>
      <c r="D87" s="4" t="s">
        <v>271</v>
      </c>
      <c r="E87" s="4" t="s">
        <v>295</v>
      </c>
      <c r="F87" s="17">
        <v>1</v>
      </c>
      <c r="G87" s="17">
        <v>0</v>
      </c>
      <c r="H87" s="17">
        <f t="shared" si="40"/>
        <v>0</v>
      </c>
      <c r="I87" s="17">
        <f t="shared" si="41"/>
        <v>0</v>
      </c>
      <c r="J87" s="17">
        <f t="shared" si="42"/>
        <v>0</v>
      </c>
      <c r="K87" s="17">
        <v>0.03574</v>
      </c>
      <c r="L87" s="17">
        <f t="shared" si="43"/>
        <v>0.03574</v>
      </c>
      <c r="M87" s="29" t="s">
        <v>324</v>
      </c>
      <c r="P87" s="34">
        <f t="shared" si="44"/>
        <v>0</v>
      </c>
      <c r="R87" s="34">
        <f t="shared" si="45"/>
        <v>0</v>
      </c>
      <c r="S87" s="34">
        <f t="shared" si="46"/>
        <v>0</v>
      </c>
      <c r="T87" s="34">
        <f t="shared" si="47"/>
        <v>0</v>
      </c>
      <c r="U87" s="34">
        <f t="shared" si="48"/>
        <v>0</v>
      </c>
      <c r="V87" s="34">
        <f t="shared" si="49"/>
        <v>0</v>
      </c>
      <c r="W87" s="34">
        <f t="shared" si="50"/>
        <v>0</v>
      </c>
      <c r="X87" s="34">
        <f t="shared" si="51"/>
        <v>0</v>
      </c>
      <c r="Y87" s="26"/>
      <c r="Z87" s="17">
        <f t="shared" si="52"/>
        <v>0</v>
      </c>
      <c r="AA87" s="17">
        <f t="shared" si="53"/>
        <v>0</v>
      </c>
      <c r="AB87" s="17">
        <f t="shared" si="54"/>
        <v>0</v>
      </c>
      <c r="AD87" s="34">
        <v>21</v>
      </c>
      <c r="AE87" s="34">
        <f>G87*0.906058588548602</f>
        <v>0</v>
      </c>
      <c r="AF87" s="34">
        <f>G87*(1-0.906058588548602)</f>
        <v>0</v>
      </c>
      <c r="AG87" s="29" t="s">
        <v>13</v>
      </c>
      <c r="AM87" s="34">
        <f t="shared" si="55"/>
        <v>0</v>
      </c>
      <c r="AN87" s="34">
        <f t="shared" si="56"/>
        <v>0</v>
      </c>
      <c r="AO87" s="35" t="s">
        <v>337</v>
      </c>
      <c r="AP87" s="35" t="s">
        <v>344</v>
      </c>
      <c r="AQ87" s="26" t="s">
        <v>346</v>
      </c>
      <c r="AS87" s="34">
        <f t="shared" si="57"/>
        <v>0</v>
      </c>
      <c r="AT87" s="34">
        <f t="shared" si="58"/>
        <v>0</v>
      </c>
      <c r="AU87" s="34">
        <v>0</v>
      </c>
      <c r="AV87" s="34">
        <f t="shared" si="59"/>
        <v>0.03574</v>
      </c>
    </row>
    <row r="88" spans="1:48" ht="12.75">
      <c r="A88" s="4" t="s">
        <v>79</v>
      </c>
      <c r="B88" s="4"/>
      <c r="C88" s="4" t="s">
        <v>174</v>
      </c>
      <c r="D88" s="4" t="s">
        <v>272</v>
      </c>
      <c r="E88" s="4" t="s">
        <v>295</v>
      </c>
      <c r="F88" s="17">
        <v>1</v>
      </c>
      <c r="G88" s="17">
        <v>0</v>
      </c>
      <c r="H88" s="17">
        <f t="shared" si="40"/>
        <v>0</v>
      </c>
      <c r="I88" s="17">
        <f t="shared" si="41"/>
        <v>0</v>
      </c>
      <c r="J88" s="17">
        <f t="shared" si="42"/>
        <v>0</v>
      </c>
      <c r="K88" s="17">
        <v>0.047</v>
      </c>
      <c r="L88" s="17">
        <f t="shared" si="43"/>
        <v>0.047</v>
      </c>
      <c r="M88" s="29" t="s">
        <v>324</v>
      </c>
      <c r="P88" s="34">
        <f t="shared" si="44"/>
        <v>0</v>
      </c>
      <c r="R88" s="34">
        <f t="shared" si="45"/>
        <v>0</v>
      </c>
      <c r="S88" s="34">
        <f t="shared" si="46"/>
        <v>0</v>
      </c>
      <c r="T88" s="34">
        <f t="shared" si="47"/>
        <v>0</v>
      </c>
      <c r="U88" s="34">
        <f t="shared" si="48"/>
        <v>0</v>
      </c>
      <c r="V88" s="34">
        <f t="shared" si="49"/>
        <v>0</v>
      </c>
      <c r="W88" s="34">
        <f t="shared" si="50"/>
        <v>0</v>
      </c>
      <c r="X88" s="34">
        <f t="shared" si="51"/>
        <v>0</v>
      </c>
      <c r="Y88" s="26"/>
      <c r="Z88" s="17">
        <f t="shared" si="52"/>
        <v>0</v>
      </c>
      <c r="AA88" s="17">
        <f t="shared" si="53"/>
        <v>0</v>
      </c>
      <c r="AB88" s="17">
        <f t="shared" si="54"/>
        <v>0</v>
      </c>
      <c r="AD88" s="34">
        <v>21</v>
      </c>
      <c r="AE88" s="34">
        <f>G88*0.925655036109247</f>
        <v>0</v>
      </c>
      <c r="AF88" s="34">
        <f>G88*(1-0.925655036109247)</f>
        <v>0</v>
      </c>
      <c r="AG88" s="29" t="s">
        <v>13</v>
      </c>
      <c r="AM88" s="34">
        <f t="shared" si="55"/>
        <v>0</v>
      </c>
      <c r="AN88" s="34">
        <f t="shared" si="56"/>
        <v>0</v>
      </c>
      <c r="AO88" s="35" t="s">
        <v>337</v>
      </c>
      <c r="AP88" s="35" t="s">
        <v>344</v>
      </c>
      <c r="AQ88" s="26" t="s">
        <v>346</v>
      </c>
      <c r="AS88" s="34">
        <f t="shared" si="57"/>
        <v>0</v>
      </c>
      <c r="AT88" s="34">
        <f t="shared" si="58"/>
        <v>0</v>
      </c>
      <c r="AU88" s="34">
        <v>0</v>
      </c>
      <c r="AV88" s="34">
        <f t="shared" si="59"/>
        <v>0.047</v>
      </c>
    </row>
    <row r="89" spans="1:48" ht="12.75">
      <c r="A89" s="4" t="s">
        <v>80</v>
      </c>
      <c r="B89" s="4"/>
      <c r="C89" s="4" t="s">
        <v>175</v>
      </c>
      <c r="D89" s="4" t="s">
        <v>273</v>
      </c>
      <c r="E89" s="4" t="s">
        <v>295</v>
      </c>
      <c r="F89" s="17">
        <v>2</v>
      </c>
      <c r="G89" s="17">
        <v>0</v>
      </c>
      <c r="H89" s="17">
        <f t="shared" si="40"/>
        <v>0</v>
      </c>
      <c r="I89" s="17">
        <f t="shared" si="41"/>
        <v>0</v>
      </c>
      <c r="J89" s="17">
        <f t="shared" si="42"/>
        <v>0</v>
      </c>
      <c r="K89" s="17">
        <v>0.03033</v>
      </c>
      <c r="L89" s="17">
        <f t="shared" si="43"/>
        <v>0.06066</v>
      </c>
      <c r="M89" s="29" t="s">
        <v>324</v>
      </c>
      <c r="P89" s="34">
        <f t="shared" si="44"/>
        <v>0</v>
      </c>
      <c r="R89" s="34">
        <f t="shared" si="45"/>
        <v>0</v>
      </c>
      <c r="S89" s="34">
        <f t="shared" si="46"/>
        <v>0</v>
      </c>
      <c r="T89" s="34">
        <f t="shared" si="47"/>
        <v>0</v>
      </c>
      <c r="U89" s="34">
        <f t="shared" si="48"/>
        <v>0</v>
      </c>
      <c r="V89" s="34">
        <f t="shared" si="49"/>
        <v>0</v>
      </c>
      <c r="W89" s="34">
        <f t="shared" si="50"/>
        <v>0</v>
      </c>
      <c r="X89" s="34">
        <f t="shared" si="51"/>
        <v>0</v>
      </c>
      <c r="Y89" s="26"/>
      <c r="Z89" s="17">
        <f t="shared" si="52"/>
        <v>0</v>
      </c>
      <c r="AA89" s="17">
        <f t="shared" si="53"/>
        <v>0</v>
      </c>
      <c r="AB89" s="17">
        <f t="shared" si="54"/>
        <v>0</v>
      </c>
      <c r="AD89" s="34">
        <v>21</v>
      </c>
      <c r="AE89" s="34">
        <f>G89*0.906642996188192</f>
        <v>0</v>
      </c>
      <c r="AF89" s="34">
        <f>G89*(1-0.906642996188192)</f>
        <v>0</v>
      </c>
      <c r="AG89" s="29" t="s">
        <v>13</v>
      </c>
      <c r="AM89" s="34">
        <f t="shared" si="55"/>
        <v>0</v>
      </c>
      <c r="AN89" s="34">
        <f t="shared" si="56"/>
        <v>0</v>
      </c>
      <c r="AO89" s="35" t="s">
        <v>337</v>
      </c>
      <c r="AP89" s="35" t="s">
        <v>344</v>
      </c>
      <c r="AQ89" s="26" t="s">
        <v>346</v>
      </c>
      <c r="AS89" s="34">
        <f t="shared" si="57"/>
        <v>0</v>
      </c>
      <c r="AT89" s="34">
        <f t="shared" si="58"/>
        <v>0</v>
      </c>
      <c r="AU89" s="34">
        <v>0</v>
      </c>
      <c r="AV89" s="34">
        <f t="shared" si="59"/>
        <v>0.06066</v>
      </c>
    </row>
    <row r="90" spans="1:48" ht="12.75">
      <c r="A90" s="4" t="s">
        <v>81</v>
      </c>
      <c r="B90" s="4"/>
      <c r="C90" s="4" t="s">
        <v>176</v>
      </c>
      <c r="D90" s="4" t="s">
        <v>274</v>
      </c>
      <c r="E90" s="4" t="s">
        <v>295</v>
      </c>
      <c r="F90" s="17">
        <v>2</v>
      </c>
      <c r="G90" s="17">
        <v>0</v>
      </c>
      <c r="H90" s="17">
        <f t="shared" si="40"/>
        <v>0</v>
      </c>
      <c r="I90" s="17">
        <f t="shared" si="41"/>
        <v>0</v>
      </c>
      <c r="J90" s="17">
        <f t="shared" si="42"/>
        <v>0</v>
      </c>
      <c r="K90" s="17">
        <v>0.03639</v>
      </c>
      <c r="L90" s="17">
        <f t="shared" si="43"/>
        <v>0.07278</v>
      </c>
      <c r="M90" s="29" t="s">
        <v>324</v>
      </c>
      <c r="P90" s="34">
        <f t="shared" si="44"/>
        <v>0</v>
      </c>
      <c r="R90" s="34">
        <f t="shared" si="45"/>
        <v>0</v>
      </c>
      <c r="S90" s="34">
        <f t="shared" si="46"/>
        <v>0</v>
      </c>
      <c r="T90" s="34">
        <f t="shared" si="47"/>
        <v>0</v>
      </c>
      <c r="U90" s="34">
        <f t="shared" si="48"/>
        <v>0</v>
      </c>
      <c r="V90" s="34">
        <f t="shared" si="49"/>
        <v>0</v>
      </c>
      <c r="W90" s="34">
        <f t="shared" si="50"/>
        <v>0</v>
      </c>
      <c r="X90" s="34">
        <f t="shared" si="51"/>
        <v>0</v>
      </c>
      <c r="Y90" s="26"/>
      <c r="Z90" s="17">
        <f t="shared" si="52"/>
        <v>0</v>
      </c>
      <c r="AA90" s="17">
        <f t="shared" si="53"/>
        <v>0</v>
      </c>
      <c r="AB90" s="17">
        <f t="shared" si="54"/>
        <v>0</v>
      </c>
      <c r="AD90" s="34">
        <v>21</v>
      </c>
      <c r="AE90" s="34">
        <f>G90*0.912443272983046</f>
        <v>0</v>
      </c>
      <c r="AF90" s="34">
        <f>G90*(1-0.912443272983046)</f>
        <v>0</v>
      </c>
      <c r="AG90" s="29" t="s">
        <v>13</v>
      </c>
      <c r="AM90" s="34">
        <f t="shared" si="55"/>
        <v>0</v>
      </c>
      <c r="AN90" s="34">
        <f t="shared" si="56"/>
        <v>0</v>
      </c>
      <c r="AO90" s="35" t="s">
        <v>337</v>
      </c>
      <c r="AP90" s="35" t="s">
        <v>344</v>
      </c>
      <c r="AQ90" s="26" t="s">
        <v>346</v>
      </c>
      <c r="AS90" s="34">
        <f t="shared" si="57"/>
        <v>0</v>
      </c>
      <c r="AT90" s="34">
        <f t="shared" si="58"/>
        <v>0</v>
      </c>
      <c r="AU90" s="34">
        <v>0</v>
      </c>
      <c r="AV90" s="34">
        <f t="shared" si="59"/>
        <v>0.07278</v>
      </c>
    </row>
    <row r="91" spans="1:48" ht="12.75">
      <c r="A91" s="4" t="s">
        <v>82</v>
      </c>
      <c r="B91" s="4"/>
      <c r="C91" s="4" t="s">
        <v>177</v>
      </c>
      <c r="D91" s="4" t="s">
        <v>275</v>
      </c>
      <c r="E91" s="4" t="s">
        <v>295</v>
      </c>
      <c r="F91" s="17">
        <v>1</v>
      </c>
      <c r="G91" s="17">
        <v>0</v>
      </c>
      <c r="H91" s="17">
        <f t="shared" si="40"/>
        <v>0</v>
      </c>
      <c r="I91" s="17">
        <f t="shared" si="41"/>
        <v>0</v>
      </c>
      <c r="J91" s="17">
        <f t="shared" si="42"/>
        <v>0</v>
      </c>
      <c r="K91" s="17">
        <v>0.1014</v>
      </c>
      <c r="L91" s="17">
        <f t="shared" si="43"/>
        <v>0.1014</v>
      </c>
      <c r="M91" s="29" t="s">
        <v>324</v>
      </c>
      <c r="P91" s="34">
        <f t="shared" si="44"/>
        <v>0</v>
      </c>
      <c r="R91" s="34">
        <f t="shared" si="45"/>
        <v>0</v>
      </c>
      <c r="S91" s="34">
        <f t="shared" si="46"/>
        <v>0</v>
      </c>
      <c r="T91" s="34">
        <f t="shared" si="47"/>
        <v>0</v>
      </c>
      <c r="U91" s="34">
        <f t="shared" si="48"/>
        <v>0</v>
      </c>
      <c r="V91" s="34">
        <f t="shared" si="49"/>
        <v>0</v>
      </c>
      <c r="W91" s="34">
        <f t="shared" si="50"/>
        <v>0</v>
      </c>
      <c r="X91" s="34">
        <f t="shared" si="51"/>
        <v>0</v>
      </c>
      <c r="Y91" s="26"/>
      <c r="Z91" s="17">
        <f t="shared" si="52"/>
        <v>0</v>
      </c>
      <c r="AA91" s="17">
        <f t="shared" si="53"/>
        <v>0</v>
      </c>
      <c r="AB91" s="17">
        <f t="shared" si="54"/>
        <v>0</v>
      </c>
      <c r="AD91" s="34">
        <v>21</v>
      </c>
      <c r="AE91" s="34">
        <f>G91*0.949499770558056</f>
        <v>0</v>
      </c>
      <c r="AF91" s="34">
        <f>G91*(1-0.949499770558056)</f>
        <v>0</v>
      </c>
      <c r="AG91" s="29" t="s">
        <v>13</v>
      </c>
      <c r="AM91" s="34">
        <f t="shared" si="55"/>
        <v>0</v>
      </c>
      <c r="AN91" s="34">
        <f t="shared" si="56"/>
        <v>0</v>
      </c>
      <c r="AO91" s="35" t="s">
        <v>337</v>
      </c>
      <c r="AP91" s="35" t="s">
        <v>344</v>
      </c>
      <c r="AQ91" s="26" t="s">
        <v>346</v>
      </c>
      <c r="AS91" s="34">
        <f t="shared" si="57"/>
        <v>0</v>
      </c>
      <c r="AT91" s="34">
        <f t="shared" si="58"/>
        <v>0</v>
      </c>
      <c r="AU91" s="34">
        <v>0</v>
      </c>
      <c r="AV91" s="34">
        <f t="shared" si="59"/>
        <v>0.1014</v>
      </c>
    </row>
    <row r="92" spans="1:48" ht="12.75">
      <c r="A92" s="4" t="s">
        <v>83</v>
      </c>
      <c r="B92" s="4"/>
      <c r="C92" s="4" t="s">
        <v>178</v>
      </c>
      <c r="D92" s="4" t="s">
        <v>276</v>
      </c>
      <c r="E92" s="4" t="s">
        <v>295</v>
      </c>
      <c r="F92" s="17">
        <v>156</v>
      </c>
      <c r="G92" s="17">
        <v>0</v>
      </c>
      <c r="H92" s="17">
        <f t="shared" si="40"/>
        <v>0</v>
      </c>
      <c r="I92" s="17">
        <f t="shared" si="41"/>
        <v>0</v>
      </c>
      <c r="J92" s="17">
        <f t="shared" si="42"/>
        <v>0</v>
      </c>
      <c r="K92" s="17">
        <v>0</v>
      </c>
      <c r="L92" s="17">
        <f t="shared" si="43"/>
        <v>0</v>
      </c>
      <c r="M92" s="29" t="s">
        <v>324</v>
      </c>
      <c r="P92" s="34">
        <f t="shared" si="44"/>
        <v>0</v>
      </c>
      <c r="R92" s="34">
        <f t="shared" si="45"/>
        <v>0</v>
      </c>
      <c r="S92" s="34">
        <f t="shared" si="46"/>
        <v>0</v>
      </c>
      <c r="T92" s="34">
        <f t="shared" si="47"/>
        <v>0</v>
      </c>
      <c r="U92" s="34">
        <f t="shared" si="48"/>
        <v>0</v>
      </c>
      <c r="V92" s="34">
        <f t="shared" si="49"/>
        <v>0</v>
      </c>
      <c r="W92" s="34">
        <f t="shared" si="50"/>
        <v>0</v>
      </c>
      <c r="X92" s="34">
        <f t="shared" si="51"/>
        <v>0</v>
      </c>
      <c r="Y92" s="26"/>
      <c r="Z92" s="17">
        <f t="shared" si="52"/>
        <v>0</v>
      </c>
      <c r="AA92" s="17">
        <f t="shared" si="53"/>
        <v>0</v>
      </c>
      <c r="AB92" s="17">
        <f t="shared" si="54"/>
        <v>0</v>
      </c>
      <c r="AD92" s="34">
        <v>21</v>
      </c>
      <c r="AE92" s="34">
        <f>G92*0.00924302788844621</f>
        <v>0</v>
      </c>
      <c r="AF92" s="34">
        <f>G92*(1-0.00924302788844621)</f>
        <v>0</v>
      </c>
      <c r="AG92" s="29" t="s">
        <v>13</v>
      </c>
      <c r="AM92" s="34">
        <f t="shared" si="55"/>
        <v>0</v>
      </c>
      <c r="AN92" s="34">
        <f t="shared" si="56"/>
        <v>0</v>
      </c>
      <c r="AO92" s="35" t="s">
        <v>337</v>
      </c>
      <c r="AP92" s="35" t="s">
        <v>344</v>
      </c>
      <c r="AQ92" s="26" t="s">
        <v>346</v>
      </c>
      <c r="AS92" s="34">
        <f t="shared" si="57"/>
        <v>0</v>
      </c>
      <c r="AT92" s="34">
        <f t="shared" si="58"/>
        <v>0</v>
      </c>
      <c r="AU92" s="34">
        <v>0</v>
      </c>
      <c r="AV92" s="34">
        <f t="shared" si="59"/>
        <v>0</v>
      </c>
    </row>
    <row r="93" spans="1:48" ht="12.75">
      <c r="A93" s="4" t="s">
        <v>84</v>
      </c>
      <c r="B93" s="4"/>
      <c r="C93" s="4" t="s">
        <v>179</v>
      </c>
      <c r="D93" s="4" t="s">
        <v>277</v>
      </c>
      <c r="E93" s="4" t="s">
        <v>295</v>
      </c>
      <c r="F93" s="17">
        <v>8</v>
      </c>
      <c r="G93" s="17">
        <v>0</v>
      </c>
      <c r="H93" s="17">
        <f t="shared" si="40"/>
        <v>0</v>
      </c>
      <c r="I93" s="17">
        <f t="shared" si="41"/>
        <v>0</v>
      </c>
      <c r="J93" s="17">
        <f t="shared" si="42"/>
        <v>0</v>
      </c>
      <c r="K93" s="17">
        <v>0</v>
      </c>
      <c r="L93" s="17">
        <f t="shared" si="43"/>
        <v>0</v>
      </c>
      <c r="M93" s="29" t="s">
        <v>324</v>
      </c>
      <c r="P93" s="34">
        <f t="shared" si="44"/>
        <v>0</v>
      </c>
      <c r="R93" s="34">
        <f t="shared" si="45"/>
        <v>0</v>
      </c>
      <c r="S93" s="34">
        <f t="shared" si="46"/>
        <v>0</v>
      </c>
      <c r="T93" s="34">
        <f t="shared" si="47"/>
        <v>0</v>
      </c>
      <c r="U93" s="34">
        <f t="shared" si="48"/>
        <v>0</v>
      </c>
      <c r="V93" s="34">
        <f t="shared" si="49"/>
        <v>0</v>
      </c>
      <c r="W93" s="34">
        <f t="shared" si="50"/>
        <v>0</v>
      </c>
      <c r="X93" s="34">
        <f t="shared" si="51"/>
        <v>0</v>
      </c>
      <c r="Y93" s="26"/>
      <c r="Z93" s="17">
        <f t="shared" si="52"/>
        <v>0</v>
      </c>
      <c r="AA93" s="17">
        <f t="shared" si="53"/>
        <v>0</v>
      </c>
      <c r="AB93" s="17">
        <f t="shared" si="54"/>
        <v>0</v>
      </c>
      <c r="AD93" s="34">
        <v>21</v>
      </c>
      <c r="AE93" s="34">
        <f>G93*0.0100428552876499</f>
        <v>0</v>
      </c>
      <c r="AF93" s="34">
        <f>G93*(1-0.0100428552876499)</f>
        <v>0</v>
      </c>
      <c r="AG93" s="29" t="s">
        <v>13</v>
      </c>
      <c r="AM93" s="34">
        <f t="shared" si="55"/>
        <v>0</v>
      </c>
      <c r="AN93" s="34">
        <f t="shared" si="56"/>
        <v>0</v>
      </c>
      <c r="AO93" s="35" t="s">
        <v>337</v>
      </c>
      <c r="AP93" s="35" t="s">
        <v>344</v>
      </c>
      <c r="AQ93" s="26" t="s">
        <v>346</v>
      </c>
      <c r="AS93" s="34">
        <f t="shared" si="57"/>
        <v>0</v>
      </c>
      <c r="AT93" s="34">
        <f t="shared" si="58"/>
        <v>0</v>
      </c>
      <c r="AU93" s="34">
        <v>0</v>
      </c>
      <c r="AV93" s="34">
        <f t="shared" si="59"/>
        <v>0</v>
      </c>
    </row>
    <row r="94" spans="1:48" ht="12.75">
      <c r="A94" s="4" t="s">
        <v>85</v>
      </c>
      <c r="B94" s="4"/>
      <c r="C94" s="4" t="s">
        <v>180</v>
      </c>
      <c r="D94" s="4" t="s">
        <v>278</v>
      </c>
      <c r="E94" s="4" t="s">
        <v>295</v>
      </c>
      <c r="F94" s="17">
        <v>1</v>
      </c>
      <c r="G94" s="17">
        <v>0</v>
      </c>
      <c r="H94" s="17">
        <f t="shared" si="40"/>
        <v>0</v>
      </c>
      <c r="I94" s="17">
        <f t="shared" si="41"/>
        <v>0</v>
      </c>
      <c r="J94" s="17">
        <f t="shared" si="42"/>
        <v>0</v>
      </c>
      <c r="K94" s="17">
        <v>0</v>
      </c>
      <c r="L94" s="17">
        <f t="shared" si="43"/>
        <v>0</v>
      </c>
      <c r="M94" s="29" t="s">
        <v>324</v>
      </c>
      <c r="P94" s="34">
        <f t="shared" si="44"/>
        <v>0</v>
      </c>
      <c r="R94" s="34">
        <f t="shared" si="45"/>
        <v>0</v>
      </c>
      <c r="S94" s="34">
        <f t="shared" si="46"/>
        <v>0</v>
      </c>
      <c r="T94" s="34">
        <f t="shared" si="47"/>
        <v>0</v>
      </c>
      <c r="U94" s="34">
        <f t="shared" si="48"/>
        <v>0</v>
      </c>
      <c r="V94" s="34">
        <f t="shared" si="49"/>
        <v>0</v>
      </c>
      <c r="W94" s="34">
        <f t="shared" si="50"/>
        <v>0</v>
      </c>
      <c r="X94" s="34">
        <f t="shared" si="51"/>
        <v>0</v>
      </c>
      <c r="Y94" s="26"/>
      <c r="Z94" s="17">
        <f t="shared" si="52"/>
        <v>0</v>
      </c>
      <c r="AA94" s="17">
        <f t="shared" si="53"/>
        <v>0</v>
      </c>
      <c r="AB94" s="17">
        <f t="shared" si="54"/>
        <v>0</v>
      </c>
      <c r="AD94" s="34">
        <v>21</v>
      </c>
      <c r="AE94" s="34">
        <f>G94*0.01</f>
        <v>0</v>
      </c>
      <c r="AF94" s="34">
        <f>G94*(1-0.01)</f>
        <v>0</v>
      </c>
      <c r="AG94" s="29" t="s">
        <v>13</v>
      </c>
      <c r="AM94" s="34">
        <f t="shared" si="55"/>
        <v>0</v>
      </c>
      <c r="AN94" s="34">
        <f t="shared" si="56"/>
        <v>0</v>
      </c>
      <c r="AO94" s="35" t="s">
        <v>337</v>
      </c>
      <c r="AP94" s="35" t="s">
        <v>344</v>
      </c>
      <c r="AQ94" s="26" t="s">
        <v>346</v>
      </c>
      <c r="AS94" s="34">
        <f t="shared" si="57"/>
        <v>0</v>
      </c>
      <c r="AT94" s="34">
        <f t="shared" si="58"/>
        <v>0</v>
      </c>
      <c r="AU94" s="34">
        <v>0</v>
      </c>
      <c r="AV94" s="34">
        <f t="shared" si="59"/>
        <v>0</v>
      </c>
    </row>
    <row r="95" spans="1:48" ht="12.75">
      <c r="A95" s="4" t="s">
        <v>86</v>
      </c>
      <c r="B95" s="4"/>
      <c r="C95" s="4" t="s">
        <v>181</v>
      </c>
      <c r="D95" s="4" t="s">
        <v>279</v>
      </c>
      <c r="E95" s="4" t="s">
        <v>298</v>
      </c>
      <c r="F95" s="17">
        <v>500</v>
      </c>
      <c r="G95" s="17">
        <v>0</v>
      </c>
      <c r="H95" s="17">
        <f t="shared" si="40"/>
        <v>0</v>
      </c>
      <c r="I95" s="17">
        <f t="shared" si="41"/>
        <v>0</v>
      </c>
      <c r="J95" s="17">
        <f t="shared" si="42"/>
        <v>0</v>
      </c>
      <c r="K95" s="17">
        <v>0.01057</v>
      </c>
      <c r="L95" s="17">
        <f t="shared" si="43"/>
        <v>5.285</v>
      </c>
      <c r="M95" s="29" t="s">
        <v>324</v>
      </c>
      <c r="P95" s="34">
        <f t="shared" si="44"/>
        <v>0</v>
      </c>
      <c r="R95" s="34">
        <f t="shared" si="45"/>
        <v>0</v>
      </c>
      <c r="S95" s="34">
        <f t="shared" si="46"/>
        <v>0</v>
      </c>
      <c r="T95" s="34">
        <f t="shared" si="47"/>
        <v>0</v>
      </c>
      <c r="U95" s="34">
        <f t="shared" si="48"/>
        <v>0</v>
      </c>
      <c r="V95" s="34">
        <f t="shared" si="49"/>
        <v>0</v>
      </c>
      <c r="W95" s="34">
        <f t="shared" si="50"/>
        <v>0</v>
      </c>
      <c r="X95" s="34">
        <f t="shared" si="51"/>
        <v>0</v>
      </c>
      <c r="Y95" s="26"/>
      <c r="Z95" s="17">
        <f t="shared" si="52"/>
        <v>0</v>
      </c>
      <c r="AA95" s="17">
        <f t="shared" si="53"/>
        <v>0</v>
      </c>
      <c r="AB95" s="17">
        <f t="shared" si="54"/>
        <v>0</v>
      </c>
      <c r="AD95" s="34">
        <v>21</v>
      </c>
      <c r="AE95" s="34">
        <f>G95*0</f>
        <v>0</v>
      </c>
      <c r="AF95" s="34">
        <f>G95*(1-0)</f>
        <v>0</v>
      </c>
      <c r="AG95" s="29" t="s">
        <v>13</v>
      </c>
      <c r="AM95" s="34">
        <f t="shared" si="55"/>
        <v>0</v>
      </c>
      <c r="AN95" s="34">
        <f t="shared" si="56"/>
        <v>0</v>
      </c>
      <c r="AO95" s="35" t="s">
        <v>337</v>
      </c>
      <c r="AP95" s="35" t="s">
        <v>344</v>
      </c>
      <c r="AQ95" s="26" t="s">
        <v>346</v>
      </c>
      <c r="AS95" s="34">
        <f t="shared" si="57"/>
        <v>0</v>
      </c>
      <c r="AT95" s="34">
        <f t="shared" si="58"/>
        <v>0</v>
      </c>
      <c r="AU95" s="34">
        <v>0</v>
      </c>
      <c r="AV95" s="34">
        <f t="shared" si="59"/>
        <v>5.285</v>
      </c>
    </row>
    <row r="96" spans="1:48" ht="12.75">
      <c r="A96" s="4" t="s">
        <v>87</v>
      </c>
      <c r="B96" s="4"/>
      <c r="C96" s="4" t="s">
        <v>182</v>
      </c>
      <c r="D96" s="4" t="s">
        <v>280</v>
      </c>
      <c r="E96" s="4" t="s">
        <v>296</v>
      </c>
      <c r="F96" s="17">
        <v>5.285</v>
      </c>
      <c r="G96" s="17">
        <v>0</v>
      </c>
      <c r="H96" s="17">
        <f t="shared" si="40"/>
        <v>0</v>
      </c>
      <c r="I96" s="17">
        <f t="shared" si="41"/>
        <v>0</v>
      </c>
      <c r="J96" s="17">
        <f t="shared" si="42"/>
        <v>0</v>
      </c>
      <c r="K96" s="17">
        <v>0</v>
      </c>
      <c r="L96" s="17">
        <f t="shared" si="43"/>
        <v>0</v>
      </c>
      <c r="M96" s="29" t="s">
        <v>324</v>
      </c>
      <c r="P96" s="34">
        <f t="shared" si="44"/>
        <v>0</v>
      </c>
      <c r="R96" s="34">
        <f t="shared" si="45"/>
        <v>0</v>
      </c>
      <c r="S96" s="34">
        <f t="shared" si="46"/>
        <v>0</v>
      </c>
      <c r="T96" s="34">
        <f t="shared" si="47"/>
        <v>0</v>
      </c>
      <c r="U96" s="34">
        <f t="shared" si="48"/>
        <v>0</v>
      </c>
      <c r="V96" s="34">
        <f t="shared" si="49"/>
        <v>0</v>
      </c>
      <c r="W96" s="34">
        <f t="shared" si="50"/>
        <v>0</v>
      </c>
      <c r="X96" s="34">
        <f t="shared" si="51"/>
        <v>0</v>
      </c>
      <c r="Y96" s="26"/>
      <c r="Z96" s="17">
        <f t="shared" si="52"/>
        <v>0</v>
      </c>
      <c r="AA96" s="17">
        <f t="shared" si="53"/>
        <v>0</v>
      </c>
      <c r="AB96" s="17">
        <f t="shared" si="54"/>
        <v>0</v>
      </c>
      <c r="AD96" s="34">
        <v>21</v>
      </c>
      <c r="AE96" s="34">
        <f>G96*0</f>
        <v>0</v>
      </c>
      <c r="AF96" s="34">
        <f>G96*(1-0)</f>
        <v>0</v>
      </c>
      <c r="AG96" s="29" t="s">
        <v>13</v>
      </c>
      <c r="AM96" s="34">
        <f t="shared" si="55"/>
        <v>0</v>
      </c>
      <c r="AN96" s="34">
        <f t="shared" si="56"/>
        <v>0</v>
      </c>
      <c r="AO96" s="35" t="s">
        <v>337</v>
      </c>
      <c r="AP96" s="35" t="s">
        <v>344</v>
      </c>
      <c r="AQ96" s="26" t="s">
        <v>346</v>
      </c>
      <c r="AS96" s="34">
        <f t="shared" si="57"/>
        <v>0</v>
      </c>
      <c r="AT96" s="34">
        <f t="shared" si="58"/>
        <v>0</v>
      </c>
      <c r="AU96" s="34">
        <v>0</v>
      </c>
      <c r="AV96" s="34">
        <f t="shared" si="59"/>
        <v>0</v>
      </c>
    </row>
    <row r="97" spans="1:48" ht="12.75">
      <c r="A97" s="4" t="s">
        <v>88</v>
      </c>
      <c r="B97" s="4"/>
      <c r="C97" s="4" t="s">
        <v>183</v>
      </c>
      <c r="D97" s="4" t="s">
        <v>281</v>
      </c>
      <c r="E97" s="4" t="s">
        <v>298</v>
      </c>
      <c r="F97" s="17">
        <v>500</v>
      </c>
      <c r="G97" s="17">
        <v>0</v>
      </c>
      <c r="H97" s="17">
        <f t="shared" si="40"/>
        <v>0</v>
      </c>
      <c r="I97" s="17">
        <f t="shared" si="41"/>
        <v>0</v>
      </c>
      <c r="J97" s="17">
        <f t="shared" si="42"/>
        <v>0</v>
      </c>
      <c r="K97" s="17">
        <v>0</v>
      </c>
      <c r="L97" s="17">
        <f t="shared" si="43"/>
        <v>0</v>
      </c>
      <c r="M97" s="29" t="s">
        <v>324</v>
      </c>
      <c r="P97" s="34">
        <f t="shared" si="44"/>
        <v>0</v>
      </c>
      <c r="R97" s="34">
        <f t="shared" si="45"/>
        <v>0</v>
      </c>
      <c r="S97" s="34">
        <f t="shared" si="46"/>
        <v>0</v>
      </c>
      <c r="T97" s="34">
        <f t="shared" si="47"/>
        <v>0</v>
      </c>
      <c r="U97" s="34">
        <f t="shared" si="48"/>
        <v>0</v>
      </c>
      <c r="V97" s="34">
        <f t="shared" si="49"/>
        <v>0</v>
      </c>
      <c r="W97" s="34">
        <f t="shared" si="50"/>
        <v>0</v>
      </c>
      <c r="X97" s="34">
        <f t="shared" si="51"/>
        <v>0</v>
      </c>
      <c r="Y97" s="26"/>
      <c r="Z97" s="17">
        <f t="shared" si="52"/>
        <v>0</v>
      </c>
      <c r="AA97" s="17">
        <f t="shared" si="53"/>
        <v>0</v>
      </c>
      <c r="AB97" s="17">
        <f t="shared" si="54"/>
        <v>0</v>
      </c>
      <c r="AD97" s="34">
        <v>21</v>
      </c>
      <c r="AE97" s="34">
        <f>G97*0</f>
        <v>0</v>
      </c>
      <c r="AF97" s="34">
        <f>G97*(1-0)</f>
        <v>0</v>
      </c>
      <c r="AG97" s="29" t="s">
        <v>13</v>
      </c>
      <c r="AM97" s="34">
        <f t="shared" si="55"/>
        <v>0</v>
      </c>
      <c r="AN97" s="34">
        <f t="shared" si="56"/>
        <v>0</v>
      </c>
      <c r="AO97" s="35" t="s">
        <v>337</v>
      </c>
      <c r="AP97" s="35" t="s">
        <v>344</v>
      </c>
      <c r="AQ97" s="26" t="s">
        <v>346</v>
      </c>
      <c r="AS97" s="34">
        <f t="shared" si="57"/>
        <v>0</v>
      </c>
      <c r="AT97" s="34">
        <f t="shared" si="58"/>
        <v>0</v>
      </c>
      <c r="AU97" s="34">
        <v>0</v>
      </c>
      <c r="AV97" s="34">
        <f t="shared" si="59"/>
        <v>0</v>
      </c>
    </row>
    <row r="98" spans="1:37" ht="12.75">
      <c r="A98" s="5"/>
      <c r="B98" s="13"/>
      <c r="C98" s="13" t="s">
        <v>184</v>
      </c>
      <c r="D98" s="13" t="s">
        <v>282</v>
      </c>
      <c r="E98" s="5" t="s">
        <v>6</v>
      </c>
      <c r="F98" s="5" t="s">
        <v>6</v>
      </c>
      <c r="G98" s="5" t="s">
        <v>6</v>
      </c>
      <c r="H98" s="37">
        <f>SUM(H99:H100)</f>
        <v>0</v>
      </c>
      <c r="I98" s="37">
        <f>SUM(I99:I100)</f>
        <v>0</v>
      </c>
      <c r="J98" s="37">
        <f>H98+I98</f>
        <v>0</v>
      </c>
      <c r="K98" s="26"/>
      <c r="L98" s="37">
        <f>SUM(L99:L100)</f>
        <v>0</v>
      </c>
      <c r="M98" s="26"/>
      <c r="Y98" s="26"/>
      <c r="AI98" s="37">
        <f>SUM(Z99:Z100)</f>
        <v>0</v>
      </c>
      <c r="AJ98" s="37">
        <f>SUM(AA99:AA100)</f>
        <v>0</v>
      </c>
      <c r="AK98" s="37">
        <f>SUM(AB99:AB100)</f>
        <v>0</v>
      </c>
    </row>
    <row r="99" spans="1:48" ht="12.75">
      <c r="A99" s="4" t="s">
        <v>89</v>
      </c>
      <c r="B99" s="4"/>
      <c r="C99" s="4" t="s">
        <v>185</v>
      </c>
      <c r="D99" s="4" t="s">
        <v>283</v>
      </c>
      <c r="E99" s="4" t="s">
        <v>299</v>
      </c>
      <c r="F99" s="17">
        <v>144</v>
      </c>
      <c r="G99" s="17">
        <v>0</v>
      </c>
      <c r="H99" s="17">
        <f>F99*AE99</f>
        <v>0</v>
      </c>
      <c r="I99" s="17">
        <f>J99-H99</f>
        <v>0</v>
      </c>
      <c r="J99" s="17">
        <f>F99*G99</f>
        <v>0</v>
      </c>
      <c r="K99" s="17">
        <v>0</v>
      </c>
      <c r="L99" s="17">
        <f>F99*K99</f>
        <v>0</v>
      </c>
      <c r="M99" s="29" t="s">
        <v>324</v>
      </c>
      <c r="P99" s="34">
        <f>IF(AG99="5",J99,0)</f>
        <v>0</v>
      </c>
      <c r="R99" s="34">
        <f>IF(AG99="1",H99,0)</f>
        <v>0</v>
      </c>
      <c r="S99" s="34">
        <f>IF(AG99="1",I99,0)</f>
        <v>0</v>
      </c>
      <c r="T99" s="34">
        <f>IF(AG99="7",H99,0)</f>
        <v>0</v>
      </c>
      <c r="U99" s="34">
        <f>IF(AG99="7",I99,0)</f>
        <v>0</v>
      </c>
      <c r="V99" s="34">
        <f>IF(AG99="2",H99,0)</f>
        <v>0</v>
      </c>
      <c r="W99" s="34">
        <f>IF(AG99="2",I99,0)</f>
        <v>0</v>
      </c>
      <c r="X99" s="34">
        <f>IF(AG99="0",J99,0)</f>
        <v>0</v>
      </c>
      <c r="Y99" s="26"/>
      <c r="Z99" s="17">
        <f>IF(AD99=0,J99,0)</f>
        <v>0</v>
      </c>
      <c r="AA99" s="17">
        <f>IF(AD99=15,J99,0)</f>
        <v>0</v>
      </c>
      <c r="AB99" s="17">
        <f>IF(AD99=21,J99,0)</f>
        <v>0</v>
      </c>
      <c r="AD99" s="34">
        <v>21</v>
      </c>
      <c r="AE99" s="34">
        <f>G99*0</f>
        <v>0</v>
      </c>
      <c r="AF99" s="34">
        <f>G99*(1-0)</f>
        <v>0</v>
      </c>
      <c r="AG99" s="29" t="s">
        <v>7</v>
      </c>
      <c r="AM99" s="34">
        <f>F99*AE99</f>
        <v>0</v>
      </c>
      <c r="AN99" s="34">
        <f>F99*AF99</f>
        <v>0</v>
      </c>
      <c r="AO99" s="35" t="s">
        <v>338</v>
      </c>
      <c r="AP99" s="35" t="s">
        <v>345</v>
      </c>
      <c r="AQ99" s="26" t="s">
        <v>346</v>
      </c>
      <c r="AS99" s="34">
        <f>AM99+AN99</f>
        <v>0</v>
      </c>
      <c r="AT99" s="34">
        <f>G99/(100-AU99)*100</f>
        <v>0</v>
      </c>
      <c r="AU99" s="34">
        <v>0</v>
      </c>
      <c r="AV99" s="34">
        <f>L99</f>
        <v>0</v>
      </c>
    </row>
    <row r="100" spans="1:48" ht="12.75">
      <c r="A100" s="4" t="s">
        <v>90</v>
      </c>
      <c r="B100" s="4"/>
      <c r="C100" s="4" t="s">
        <v>186</v>
      </c>
      <c r="D100" s="4" t="s">
        <v>284</v>
      </c>
      <c r="E100" s="4" t="s">
        <v>299</v>
      </c>
      <c r="F100" s="17">
        <v>100</v>
      </c>
      <c r="G100" s="17">
        <v>0</v>
      </c>
      <c r="H100" s="17">
        <f>F100*AE100</f>
        <v>0</v>
      </c>
      <c r="I100" s="17">
        <f>J100-H100</f>
        <v>0</v>
      </c>
      <c r="J100" s="17">
        <f>F100*G100</f>
        <v>0</v>
      </c>
      <c r="K100" s="17">
        <v>0</v>
      </c>
      <c r="L100" s="17">
        <f>F100*K100</f>
        <v>0</v>
      </c>
      <c r="M100" s="29" t="s">
        <v>324</v>
      </c>
      <c r="P100" s="34">
        <f>IF(AG100="5",J100,0)</f>
        <v>0</v>
      </c>
      <c r="R100" s="34">
        <f>IF(AG100="1",H100,0)</f>
        <v>0</v>
      </c>
      <c r="S100" s="34">
        <f>IF(AG100="1",I100,0)</f>
        <v>0</v>
      </c>
      <c r="T100" s="34">
        <f>IF(AG100="7",H100,0)</f>
        <v>0</v>
      </c>
      <c r="U100" s="34">
        <f>IF(AG100="7",I100,0)</f>
        <v>0</v>
      </c>
      <c r="V100" s="34">
        <f>IF(AG100="2",H100,0)</f>
        <v>0</v>
      </c>
      <c r="W100" s="34">
        <f>IF(AG100="2",I100,0)</f>
        <v>0</v>
      </c>
      <c r="X100" s="34">
        <f>IF(AG100="0",J100,0)</f>
        <v>0</v>
      </c>
      <c r="Y100" s="26"/>
      <c r="Z100" s="17">
        <f>IF(AD100=0,J100,0)</f>
        <v>0</v>
      </c>
      <c r="AA100" s="17">
        <f>IF(AD100=15,J100,0)</f>
        <v>0</v>
      </c>
      <c r="AB100" s="17">
        <f>IF(AD100=21,J100,0)</f>
        <v>0</v>
      </c>
      <c r="AD100" s="34">
        <v>21</v>
      </c>
      <c r="AE100" s="34">
        <f>G100*0</f>
        <v>0</v>
      </c>
      <c r="AF100" s="34">
        <f>G100*(1-0)</f>
        <v>0</v>
      </c>
      <c r="AG100" s="29" t="s">
        <v>7</v>
      </c>
      <c r="AM100" s="34">
        <f>F100*AE100</f>
        <v>0</v>
      </c>
      <c r="AN100" s="34">
        <f>F100*AF100</f>
        <v>0</v>
      </c>
      <c r="AO100" s="35" t="s">
        <v>338</v>
      </c>
      <c r="AP100" s="35" t="s">
        <v>345</v>
      </c>
      <c r="AQ100" s="26" t="s">
        <v>346</v>
      </c>
      <c r="AS100" s="34">
        <f>AM100+AN100</f>
        <v>0</v>
      </c>
      <c r="AT100" s="34">
        <f>G100/(100-AU100)*100</f>
        <v>0</v>
      </c>
      <c r="AU100" s="34">
        <v>0</v>
      </c>
      <c r="AV100" s="34">
        <f>L100</f>
        <v>0</v>
      </c>
    </row>
    <row r="101" spans="1:37" ht="12.75">
      <c r="A101" s="5"/>
      <c r="B101" s="13"/>
      <c r="C101" s="13" t="s">
        <v>187</v>
      </c>
      <c r="D101" s="13" t="s">
        <v>200</v>
      </c>
      <c r="E101" s="5" t="s">
        <v>6</v>
      </c>
      <c r="F101" s="5" t="s">
        <v>6</v>
      </c>
      <c r="G101" s="5" t="s">
        <v>6</v>
      </c>
      <c r="H101" s="37">
        <f>SUM(H102:H102)</f>
        <v>0</v>
      </c>
      <c r="I101" s="37">
        <f>SUM(I102:I102)</f>
        <v>0</v>
      </c>
      <c r="J101" s="37">
        <f>H101+I101</f>
        <v>0</v>
      </c>
      <c r="K101" s="26"/>
      <c r="L101" s="37">
        <f>SUM(L102:L102)</f>
        <v>0</v>
      </c>
      <c r="M101" s="26"/>
      <c r="Y101" s="26"/>
      <c r="AI101" s="37">
        <f>SUM(Z102:Z102)</f>
        <v>0</v>
      </c>
      <c r="AJ101" s="37">
        <f>SUM(AA102:AA102)</f>
        <v>0</v>
      </c>
      <c r="AK101" s="37">
        <f>SUM(AB102:AB102)</f>
        <v>0</v>
      </c>
    </row>
    <row r="102" spans="1:48" ht="12.75">
      <c r="A102" s="4" t="s">
        <v>91</v>
      </c>
      <c r="B102" s="4"/>
      <c r="C102" s="4" t="s">
        <v>188</v>
      </c>
      <c r="D102" s="4" t="s">
        <v>285</v>
      </c>
      <c r="E102" s="4" t="s">
        <v>300</v>
      </c>
      <c r="F102" s="17">
        <v>747.9876</v>
      </c>
      <c r="G102" s="17">
        <v>0</v>
      </c>
      <c r="H102" s="17">
        <f>F102*AE102</f>
        <v>0</v>
      </c>
      <c r="I102" s="17">
        <f>J102-H102</f>
        <v>0</v>
      </c>
      <c r="J102" s="17">
        <f>F102*G102</f>
        <v>0</v>
      </c>
      <c r="K102" s="17">
        <v>0</v>
      </c>
      <c r="L102" s="17">
        <f>F102*K102</f>
        <v>0</v>
      </c>
      <c r="M102" s="29" t="s">
        <v>324</v>
      </c>
      <c r="P102" s="34">
        <f>IF(AG102="5",J102,0)</f>
        <v>0</v>
      </c>
      <c r="R102" s="34">
        <f>IF(AG102="1",H102,0)</f>
        <v>0</v>
      </c>
      <c r="S102" s="34">
        <f>IF(AG102="1",I102,0)</f>
        <v>0</v>
      </c>
      <c r="T102" s="34">
        <f>IF(AG102="7",H102,0)</f>
        <v>0</v>
      </c>
      <c r="U102" s="34">
        <f>IF(AG102="7",I102,0)</f>
        <v>0</v>
      </c>
      <c r="V102" s="34">
        <f>IF(AG102="2",H102,0)</f>
        <v>0</v>
      </c>
      <c r="W102" s="34">
        <f>IF(AG102="2",I102,0)</f>
        <v>0</v>
      </c>
      <c r="X102" s="34">
        <f>IF(AG102="0",J102,0)</f>
        <v>0</v>
      </c>
      <c r="Y102" s="26"/>
      <c r="Z102" s="17">
        <f>IF(AD102=0,J102,0)</f>
        <v>0</v>
      </c>
      <c r="AA102" s="17">
        <f>IF(AD102=15,J102,0)</f>
        <v>0</v>
      </c>
      <c r="AB102" s="17">
        <f>IF(AD102=21,J102,0)</f>
        <v>0</v>
      </c>
      <c r="AD102" s="34">
        <v>21</v>
      </c>
      <c r="AE102" s="34">
        <f>G102*0</f>
        <v>0</v>
      </c>
      <c r="AF102" s="34">
        <f>G102*(1-0)</f>
        <v>0</v>
      </c>
      <c r="AG102" s="29" t="s">
        <v>11</v>
      </c>
      <c r="AM102" s="34">
        <f>F102*AE102</f>
        <v>0</v>
      </c>
      <c r="AN102" s="34">
        <f>F102*AF102</f>
        <v>0</v>
      </c>
      <c r="AO102" s="35" t="s">
        <v>339</v>
      </c>
      <c r="AP102" s="35" t="s">
        <v>345</v>
      </c>
      <c r="AQ102" s="26" t="s">
        <v>346</v>
      </c>
      <c r="AS102" s="34">
        <f>AM102+AN102</f>
        <v>0</v>
      </c>
      <c r="AT102" s="34">
        <f>G102/(100-AU102)*100</f>
        <v>0</v>
      </c>
      <c r="AU102" s="34">
        <v>0</v>
      </c>
      <c r="AV102" s="34">
        <f>L102</f>
        <v>0</v>
      </c>
    </row>
    <row r="103" spans="1:37" ht="12.75">
      <c r="A103" s="5"/>
      <c r="B103" s="13"/>
      <c r="C103" s="13" t="s">
        <v>189</v>
      </c>
      <c r="D103" s="13" t="s">
        <v>202</v>
      </c>
      <c r="E103" s="5" t="s">
        <v>6</v>
      </c>
      <c r="F103" s="5" t="s">
        <v>6</v>
      </c>
      <c r="G103" s="5" t="s">
        <v>6</v>
      </c>
      <c r="H103" s="37">
        <f>SUM(H104:H104)</f>
        <v>0</v>
      </c>
      <c r="I103" s="37">
        <f>SUM(I104:I104)</f>
        <v>0</v>
      </c>
      <c r="J103" s="37">
        <f>H103+I103</f>
        <v>0</v>
      </c>
      <c r="K103" s="26"/>
      <c r="L103" s="37">
        <f>SUM(L104:L104)</f>
        <v>0</v>
      </c>
      <c r="M103" s="26"/>
      <c r="Y103" s="26"/>
      <c r="AI103" s="37">
        <f>SUM(Z104:Z104)</f>
        <v>0</v>
      </c>
      <c r="AJ103" s="37">
        <f>SUM(AA104:AA104)</f>
        <v>0</v>
      </c>
      <c r="AK103" s="37">
        <f>SUM(AB104:AB104)</f>
        <v>0</v>
      </c>
    </row>
    <row r="104" spans="1:48" ht="12.75">
      <c r="A104" s="4" t="s">
        <v>92</v>
      </c>
      <c r="B104" s="4"/>
      <c r="C104" s="4" t="s">
        <v>190</v>
      </c>
      <c r="D104" s="4" t="s">
        <v>286</v>
      </c>
      <c r="E104" s="4" t="s">
        <v>300</v>
      </c>
      <c r="F104" s="17">
        <v>9802.0637</v>
      </c>
      <c r="G104" s="17">
        <v>0</v>
      </c>
      <c r="H104" s="17">
        <f>F104*AE104</f>
        <v>0</v>
      </c>
      <c r="I104" s="17">
        <f>J104-H104</f>
        <v>0</v>
      </c>
      <c r="J104" s="17">
        <f>F104*G104</f>
        <v>0</v>
      </c>
      <c r="K104" s="17">
        <v>0</v>
      </c>
      <c r="L104" s="17">
        <f>F104*K104</f>
        <v>0</v>
      </c>
      <c r="M104" s="29" t="s">
        <v>324</v>
      </c>
      <c r="P104" s="34">
        <f>IF(AG104="5",J104,0)</f>
        <v>0</v>
      </c>
      <c r="R104" s="34">
        <f>IF(AG104="1",H104,0)</f>
        <v>0</v>
      </c>
      <c r="S104" s="34">
        <f>IF(AG104="1",I104,0)</f>
        <v>0</v>
      </c>
      <c r="T104" s="34">
        <f>IF(AG104="7",H104,0)</f>
        <v>0</v>
      </c>
      <c r="U104" s="34">
        <f>IF(AG104="7",I104,0)</f>
        <v>0</v>
      </c>
      <c r="V104" s="34">
        <f>IF(AG104="2",H104,0)</f>
        <v>0</v>
      </c>
      <c r="W104" s="34">
        <f>IF(AG104="2",I104,0)</f>
        <v>0</v>
      </c>
      <c r="X104" s="34">
        <f>IF(AG104="0",J104,0)</f>
        <v>0</v>
      </c>
      <c r="Y104" s="26"/>
      <c r="Z104" s="17">
        <f>IF(AD104=0,J104,0)</f>
        <v>0</v>
      </c>
      <c r="AA104" s="17">
        <f>IF(AD104=15,J104,0)</f>
        <v>0</v>
      </c>
      <c r="AB104" s="17">
        <f>IF(AD104=21,J104,0)</f>
        <v>0</v>
      </c>
      <c r="AD104" s="34">
        <v>21</v>
      </c>
      <c r="AE104" s="34">
        <f>G104*0</f>
        <v>0</v>
      </c>
      <c r="AF104" s="34">
        <f>G104*(1-0)</f>
        <v>0</v>
      </c>
      <c r="AG104" s="29" t="s">
        <v>11</v>
      </c>
      <c r="AM104" s="34">
        <f>F104*AE104</f>
        <v>0</v>
      </c>
      <c r="AN104" s="34">
        <f>F104*AF104</f>
        <v>0</v>
      </c>
      <c r="AO104" s="35" t="s">
        <v>340</v>
      </c>
      <c r="AP104" s="35" t="s">
        <v>345</v>
      </c>
      <c r="AQ104" s="26" t="s">
        <v>346</v>
      </c>
      <c r="AS104" s="34">
        <f>AM104+AN104</f>
        <v>0</v>
      </c>
      <c r="AT104" s="34">
        <f>G104/(100-AU104)*100</f>
        <v>0</v>
      </c>
      <c r="AU104" s="34">
        <v>0</v>
      </c>
      <c r="AV104" s="34">
        <f>L104</f>
        <v>0</v>
      </c>
    </row>
    <row r="105" spans="1:37" ht="12.75">
      <c r="A105" s="5"/>
      <c r="B105" s="13"/>
      <c r="C105" s="13" t="s">
        <v>191</v>
      </c>
      <c r="D105" s="13" t="s">
        <v>218</v>
      </c>
      <c r="E105" s="5" t="s">
        <v>6</v>
      </c>
      <c r="F105" s="5" t="s">
        <v>6</v>
      </c>
      <c r="G105" s="5" t="s">
        <v>6</v>
      </c>
      <c r="H105" s="37">
        <f>SUM(H106:H106)</f>
        <v>0</v>
      </c>
      <c r="I105" s="37">
        <f>SUM(I106:I106)</f>
        <v>0</v>
      </c>
      <c r="J105" s="37">
        <f>H105+I105</f>
        <v>0</v>
      </c>
      <c r="K105" s="26"/>
      <c r="L105" s="37">
        <f>SUM(L106:L106)</f>
        <v>0</v>
      </c>
      <c r="M105" s="26"/>
      <c r="Y105" s="26"/>
      <c r="AI105" s="37">
        <f>SUM(Z106:Z106)</f>
        <v>0</v>
      </c>
      <c r="AJ105" s="37">
        <f>SUM(AA106:AA106)</f>
        <v>0</v>
      </c>
      <c r="AK105" s="37">
        <f>SUM(AB106:AB106)</f>
        <v>0</v>
      </c>
    </row>
    <row r="106" spans="1:48" ht="12.75">
      <c r="A106" s="4" t="s">
        <v>93</v>
      </c>
      <c r="B106" s="4"/>
      <c r="C106" s="4" t="s">
        <v>192</v>
      </c>
      <c r="D106" s="4" t="s">
        <v>287</v>
      </c>
      <c r="E106" s="4" t="s">
        <v>300</v>
      </c>
      <c r="F106" s="17">
        <v>4662.2294</v>
      </c>
      <c r="G106" s="17">
        <v>0</v>
      </c>
      <c r="H106" s="17">
        <f>F106*AE106</f>
        <v>0</v>
      </c>
      <c r="I106" s="17">
        <f>J106-H106</f>
        <v>0</v>
      </c>
      <c r="J106" s="17">
        <f>F106*G106</f>
        <v>0</v>
      </c>
      <c r="K106" s="17">
        <v>0</v>
      </c>
      <c r="L106" s="17">
        <f>F106*K106</f>
        <v>0</v>
      </c>
      <c r="M106" s="29" t="s">
        <v>324</v>
      </c>
      <c r="P106" s="34">
        <f>IF(AG106="5",J106,0)</f>
        <v>0</v>
      </c>
      <c r="R106" s="34">
        <f>IF(AG106="1",H106,0)</f>
        <v>0</v>
      </c>
      <c r="S106" s="34">
        <f>IF(AG106="1",I106,0)</f>
        <v>0</v>
      </c>
      <c r="T106" s="34">
        <f>IF(AG106="7",H106,0)</f>
        <v>0</v>
      </c>
      <c r="U106" s="34">
        <f>IF(AG106="7",I106,0)</f>
        <v>0</v>
      </c>
      <c r="V106" s="34">
        <f>IF(AG106="2",H106,0)</f>
        <v>0</v>
      </c>
      <c r="W106" s="34">
        <f>IF(AG106="2",I106,0)</f>
        <v>0</v>
      </c>
      <c r="X106" s="34">
        <f>IF(AG106="0",J106,0)</f>
        <v>0</v>
      </c>
      <c r="Y106" s="26"/>
      <c r="Z106" s="17">
        <f>IF(AD106=0,J106,0)</f>
        <v>0</v>
      </c>
      <c r="AA106" s="17">
        <f>IF(AD106=15,J106,0)</f>
        <v>0</v>
      </c>
      <c r="AB106" s="17">
        <f>IF(AD106=21,J106,0)</f>
        <v>0</v>
      </c>
      <c r="AD106" s="34">
        <v>21</v>
      </c>
      <c r="AE106" s="34">
        <f>G106*0</f>
        <v>0</v>
      </c>
      <c r="AF106" s="34">
        <f>G106*(1-0)</f>
        <v>0</v>
      </c>
      <c r="AG106" s="29" t="s">
        <v>11</v>
      </c>
      <c r="AM106" s="34">
        <f>F106*AE106</f>
        <v>0</v>
      </c>
      <c r="AN106" s="34">
        <f>F106*AF106</f>
        <v>0</v>
      </c>
      <c r="AO106" s="35" t="s">
        <v>341</v>
      </c>
      <c r="AP106" s="35" t="s">
        <v>345</v>
      </c>
      <c r="AQ106" s="26" t="s">
        <v>346</v>
      </c>
      <c r="AS106" s="34">
        <f>AM106+AN106</f>
        <v>0</v>
      </c>
      <c r="AT106" s="34">
        <f>G106/(100-AU106)*100</f>
        <v>0</v>
      </c>
      <c r="AU106" s="34">
        <v>0</v>
      </c>
      <c r="AV106" s="34">
        <f>L106</f>
        <v>0</v>
      </c>
    </row>
    <row r="107" spans="1:37" ht="12.75">
      <c r="A107" s="5"/>
      <c r="B107" s="13"/>
      <c r="C107" s="13" t="s">
        <v>193</v>
      </c>
      <c r="D107" s="13" t="s">
        <v>245</v>
      </c>
      <c r="E107" s="5" t="s">
        <v>6</v>
      </c>
      <c r="F107" s="5" t="s">
        <v>6</v>
      </c>
      <c r="G107" s="5" t="s">
        <v>6</v>
      </c>
      <c r="H107" s="37">
        <f>SUM(H108:H108)</f>
        <v>0</v>
      </c>
      <c r="I107" s="37">
        <f>SUM(I108:I108)</f>
        <v>0</v>
      </c>
      <c r="J107" s="37">
        <f>H107+I107</f>
        <v>0</v>
      </c>
      <c r="K107" s="26"/>
      <c r="L107" s="37">
        <f>SUM(L108:L108)</f>
        <v>0</v>
      </c>
      <c r="M107" s="26"/>
      <c r="Y107" s="26"/>
      <c r="AI107" s="37">
        <f>SUM(Z108:Z108)</f>
        <v>0</v>
      </c>
      <c r="AJ107" s="37">
        <f>SUM(AA108:AA108)</f>
        <v>0</v>
      </c>
      <c r="AK107" s="37">
        <f>SUM(AB108:AB108)</f>
        <v>0</v>
      </c>
    </row>
    <row r="108" spans="1:48" ht="12.75">
      <c r="A108" s="7" t="s">
        <v>94</v>
      </c>
      <c r="B108" s="7"/>
      <c r="C108" s="7" t="s">
        <v>194</v>
      </c>
      <c r="D108" s="7" t="s">
        <v>288</v>
      </c>
      <c r="E108" s="7" t="s">
        <v>300</v>
      </c>
      <c r="F108" s="19">
        <v>4746.6335</v>
      </c>
      <c r="G108" s="19">
        <v>0</v>
      </c>
      <c r="H108" s="19">
        <f>F108*AE108</f>
        <v>0</v>
      </c>
      <c r="I108" s="19">
        <f>J108-H108</f>
        <v>0</v>
      </c>
      <c r="J108" s="19">
        <f>F108*G108</f>
        <v>0</v>
      </c>
      <c r="K108" s="19">
        <v>0</v>
      </c>
      <c r="L108" s="19">
        <f>F108*K108</f>
        <v>0</v>
      </c>
      <c r="M108" s="31" t="s">
        <v>324</v>
      </c>
      <c r="P108" s="34">
        <f>IF(AG108="5",J108,0)</f>
        <v>0</v>
      </c>
      <c r="R108" s="34">
        <f>IF(AG108="1",H108,0)</f>
        <v>0</v>
      </c>
      <c r="S108" s="34">
        <f>IF(AG108="1",I108,0)</f>
        <v>0</v>
      </c>
      <c r="T108" s="34">
        <f>IF(AG108="7",H108,0)</f>
        <v>0</v>
      </c>
      <c r="U108" s="34">
        <f>IF(AG108="7",I108,0)</f>
        <v>0</v>
      </c>
      <c r="V108" s="34">
        <f>IF(AG108="2",H108,0)</f>
        <v>0</v>
      </c>
      <c r="W108" s="34">
        <f>IF(AG108="2",I108,0)</f>
        <v>0</v>
      </c>
      <c r="X108" s="34">
        <f>IF(AG108="0",J108,0)</f>
        <v>0</v>
      </c>
      <c r="Y108" s="26"/>
      <c r="Z108" s="17">
        <f>IF(AD108=0,J108,0)</f>
        <v>0</v>
      </c>
      <c r="AA108" s="17">
        <f>IF(AD108=15,J108,0)</f>
        <v>0</v>
      </c>
      <c r="AB108" s="17">
        <f>IF(AD108=21,J108,0)</f>
        <v>0</v>
      </c>
      <c r="AD108" s="34">
        <v>21</v>
      </c>
      <c r="AE108" s="34">
        <f>G108*0</f>
        <v>0</v>
      </c>
      <c r="AF108" s="34">
        <f>G108*(1-0)</f>
        <v>0</v>
      </c>
      <c r="AG108" s="29" t="s">
        <v>11</v>
      </c>
      <c r="AM108" s="34">
        <f>F108*AE108</f>
        <v>0</v>
      </c>
      <c r="AN108" s="34">
        <f>F108*AF108</f>
        <v>0</v>
      </c>
      <c r="AO108" s="35" t="s">
        <v>342</v>
      </c>
      <c r="AP108" s="35" t="s">
        <v>345</v>
      </c>
      <c r="AQ108" s="26" t="s">
        <v>346</v>
      </c>
      <c r="AS108" s="34">
        <f>AM108+AN108</f>
        <v>0</v>
      </c>
      <c r="AT108" s="34">
        <f>G108/(100-AU108)*100</f>
        <v>0</v>
      </c>
      <c r="AU108" s="34">
        <v>0</v>
      </c>
      <c r="AV108" s="34">
        <f>L108</f>
        <v>0</v>
      </c>
    </row>
    <row r="109" spans="1:13" ht="12.75">
      <c r="A109" s="8"/>
      <c r="B109" s="8"/>
      <c r="C109" s="8"/>
      <c r="D109" s="8"/>
      <c r="E109" s="8"/>
      <c r="F109" s="8"/>
      <c r="G109" s="8"/>
      <c r="H109" s="91" t="s">
        <v>310</v>
      </c>
      <c r="I109" s="92"/>
      <c r="J109" s="38">
        <f>J12+J18+J34+J61+J98+J101+J103+J105+J107</f>
        <v>0</v>
      </c>
      <c r="K109" s="8"/>
      <c r="L109" s="8"/>
      <c r="M109" s="8"/>
    </row>
    <row r="110" ht="11.25" customHeight="1">
      <c r="A110" s="9" t="s">
        <v>95</v>
      </c>
    </row>
    <row r="111" spans="1:13" ht="12.75">
      <c r="A111" s="83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</sheetData>
  <sheetProtection/>
  <mergeCells count="29">
    <mergeCell ref="H10:J10"/>
    <mergeCell ref="K10:L10"/>
    <mergeCell ref="H109:I109"/>
    <mergeCell ref="A111:M11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0" t="s">
        <v>347</v>
      </c>
      <c r="B1" s="71"/>
      <c r="C1" s="71"/>
      <c r="D1" s="71"/>
      <c r="E1" s="71"/>
      <c r="F1" s="71"/>
      <c r="G1" s="71"/>
    </row>
    <row r="2" spans="1:8" ht="12.75">
      <c r="A2" s="72" t="s">
        <v>1</v>
      </c>
      <c r="B2" s="76" t="str">
        <f>'Stavební rozpočet'!D2</f>
        <v>Rekonstrukce vytápění</v>
      </c>
      <c r="C2" s="92"/>
      <c r="D2" s="79" t="s">
        <v>311</v>
      </c>
      <c r="E2" s="79" t="str">
        <f>'Stavební rozpočet'!J2</f>
        <v>Statutární město Chomutov</v>
      </c>
      <c r="F2" s="73"/>
      <c r="G2" s="80"/>
      <c r="H2" s="32"/>
    </row>
    <row r="3" spans="1:8" ht="12.75">
      <c r="A3" s="74"/>
      <c r="B3" s="77"/>
      <c r="C3" s="77"/>
      <c r="D3" s="75"/>
      <c r="E3" s="75"/>
      <c r="F3" s="75"/>
      <c r="G3" s="81"/>
      <c r="H3" s="32"/>
    </row>
    <row r="4" spans="1:8" ht="12.75">
      <c r="A4" s="82" t="s">
        <v>2</v>
      </c>
      <c r="B4" s="83" t="str">
        <f>'Stavební rozpočet'!D4</f>
        <v>Středisko volného času Domeček</v>
      </c>
      <c r="C4" s="75"/>
      <c r="D4" s="83" t="s">
        <v>312</v>
      </c>
      <c r="E4" s="83" t="str">
        <f>'Stavební rozpočet'!J4</f>
        <v>INTER ART PROJEKT s.r.o.</v>
      </c>
      <c r="F4" s="75"/>
      <c r="G4" s="81"/>
      <c r="H4" s="32"/>
    </row>
    <row r="5" spans="1:8" ht="12.75">
      <c r="A5" s="74"/>
      <c r="B5" s="75"/>
      <c r="C5" s="75"/>
      <c r="D5" s="75"/>
      <c r="E5" s="75"/>
      <c r="F5" s="75"/>
      <c r="G5" s="81"/>
      <c r="H5" s="32"/>
    </row>
    <row r="6" spans="1:8" ht="12.75">
      <c r="A6" s="82" t="s">
        <v>3</v>
      </c>
      <c r="B6" s="83" t="str">
        <f>'Stavební rozpočet'!D6</f>
        <v>Chomutov</v>
      </c>
      <c r="C6" s="75"/>
      <c r="D6" s="83" t="s">
        <v>313</v>
      </c>
      <c r="E6" s="83" t="str">
        <f>'Stavební rozpočet'!J6</f>
        <v>výběrové řízení</v>
      </c>
      <c r="F6" s="75"/>
      <c r="G6" s="81"/>
      <c r="H6" s="32"/>
    </row>
    <row r="7" spans="1:8" ht="12.75">
      <c r="A7" s="74"/>
      <c r="B7" s="75"/>
      <c r="C7" s="75"/>
      <c r="D7" s="75"/>
      <c r="E7" s="75"/>
      <c r="F7" s="75"/>
      <c r="G7" s="81"/>
      <c r="H7" s="32"/>
    </row>
    <row r="8" spans="1:8" ht="12.75">
      <c r="A8" s="82" t="s">
        <v>314</v>
      </c>
      <c r="B8" s="83" t="str">
        <f>'Stavební rozpočet'!J8</f>
        <v>Šefl</v>
      </c>
      <c r="C8" s="75"/>
      <c r="D8" s="84" t="s">
        <v>292</v>
      </c>
      <c r="E8" s="83" t="str">
        <f>'Stavební rozpočet'!G8</f>
        <v>10.06.2018</v>
      </c>
      <c r="F8" s="75"/>
      <c r="G8" s="81"/>
      <c r="H8" s="32"/>
    </row>
    <row r="9" spans="1:8" ht="12.75">
      <c r="A9" s="85"/>
      <c r="B9" s="86"/>
      <c r="C9" s="86"/>
      <c r="D9" s="86"/>
      <c r="E9" s="86"/>
      <c r="F9" s="86"/>
      <c r="G9" s="87"/>
      <c r="H9" s="32"/>
    </row>
    <row r="10" spans="1:8" ht="12.75">
      <c r="A10" s="39" t="s">
        <v>96</v>
      </c>
      <c r="B10" s="41" t="s">
        <v>97</v>
      </c>
      <c r="C10" s="42" t="s">
        <v>198</v>
      </c>
      <c r="D10" s="43" t="s">
        <v>348</v>
      </c>
      <c r="E10" s="43" t="s">
        <v>349</v>
      </c>
      <c r="F10" s="43" t="s">
        <v>350</v>
      </c>
      <c r="G10" s="45" t="s">
        <v>351</v>
      </c>
      <c r="H10" s="33"/>
    </row>
    <row r="11" spans="1:9" ht="12.75">
      <c r="A11" s="40"/>
      <c r="B11" s="40" t="s">
        <v>98</v>
      </c>
      <c r="C11" s="40" t="s">
        <v>200</v>
      </c>
      <c r="D11" s="46">
        <f>'Stavební rozpočet'!H12</f>
        <v>0</v>
      </c>
      <c r="E11" s="46">
        <f>'Stavební rozpočet'!I12</f>
        <v>0</v>
      </c>
      <c r="F11" s="46">
        <f aca="true" t="shared" si="0" ref="F11:F19">D11+E11</f>
        <v>0</v>
      </c>
      <c r="G11" s="46">
        <f>'Stavební rozpočet'!L12</f>
        <v>0.04567</v>
      </c>
      <c r="H11" s="34" t="s">
        <v>352</v>
      </c>
      <c r="I11" s="34">
        <f aca="true" t="shared" si="1" ref="I11:I19">IF(H11="F",0,F11)</f>
        <v>0</v>
      </c>
    </row>
    <row r="12" spans="1:9" ht="12.75">
      <c r="A12" s="15"/>
      <c r="B12" s="15" t="s">
        <v>104</v>
      </c>
      <c r="C12" s="15" t="s">
        <v>202</v>
      </c>
      <c r="D12" s="34">
        <f>'Stavební rozpočet'!H18</f>
        <v>0</v>
      </c>
      <c r="E12" s="34">
        <f>'Stavební rozpočet'!I18</f>
        <v>0</v>
      </c>
      <c r="F12" s="34">
        <f t="shared" si="0"/>
        <v>0</v>
      </c>
      <c r="G12" s="34">
        <f>'Stavební rozpočet'!L18</f>
        <v>4.856330000000001</v>
      </c>
      <c r="H12" s="34" t="s">
        <v>352</v>
      </c>
      <c r="I12" s="34">
        <f t="shared" si="1"/>
        <v>0</v>
      </c>
    </row>
    <row r="13" spans="1:9" ht="12.75">
      <c r="A13" s="15"/>
      <c r="B13" s="15" t="s">
        <v>120</v>
      </c>
      <c r="C13" s="15" t="s">
        <v>218</v>
      </c>
      <c r="D13" s="34">
        <f>'Stavební rozpočet'!H34</f>
        <v>0</v>
      </c>
      <c r="E13" s="34">
        <f>'Stavební rozpočet'!I34</f>
        <v>0</v>
      </c>
      <c r="F13" s="34">
        <f t="shared" si="0"/>
        <v>0</v>
      </c>
      <c r="G13" s="34">
        <f>'Stavební rozpočet'!L34</f>
        <v>0.8921600000000002</v>
      </c>
      <c r="H13" s="34" t="s">
        <v>352</v>
      </c>
      <c r="I13" s="34">
        <f t="shared" si="1"/>
        <v>0</v>
      </c>
    </row>
    <row r="14" spans="1:9" ht="12.75">
      <c r="A14" s="15"/>
      <c r="B14" s="15" t="s">
        <v>147</v>
      </c>
      <c r="C14" s="15" t="s">
        <v>245</v>
      </c>
      <c r="D14" s="34">
        <f>'Stavební rozpočet'!H61</f>
        <v>0</v>
      </c>
      <c r="E14" s="34">
        <f>'Stavební rozpočet'!I61</f>
        <v>0</v>
      </c>
      <c r="F14" s="34">
        <f t="shared" si="0"/>
        <v>0</v>
      </c>
      <c r="G14" s="34">
        <f>'Stavební rozpočet'!L61</f>
        <v>8.61684</v>
      </c>
      <c r="H14" s="34" t="s">
        <v>352</v>
      </c>
      <c r="I14" s="34">
        <f t="shared" si="1"/>
        <v>0</v>
      </c>
    </row>
    <row r="15" spans="1:9" ht="12.75">
      <c r="A15" s="15"/>
      <c r="B15" s="15" t="s">
        <v>184</v>
      </c>
      <c r="C15" s="15" t="s">
        <v>282</v>
      </c>
      <c r="D15" s="34">
        <f>'Stavební rozpočet'!H98</f>
        <v>0</v>
      </c>
      <c r="E15" s="34">
        <f>'Stavební rozpočet'!I98</f>
        <v>0</v>
      </c>
      <c r="F15" s="34">
        <f t="shared" si="0"/>
        <v>0</v>
      </c>
      <c r="G15" s="34">
        <f>'Stavební rozpočet'!L98</f>
        <v>0</v>
      </c>
      <c r="H15" s="34" t="s">
        <v>352</v>
      </c>
      <c r="I15" s="34">
        <f t="shared" si="1"/>
        <v>0</v>
      </c>
    </row>
    <row r="16" spans="1:9" ht="12.75">
      <c r="A16" s="15"/>
      <c r="B16" s="15" t="s">
        <v>187</v>
      </c>
      <c r="C16" s="15" t="s">
        <v>200</v>
      </c>
      <c r="D16" s="34">
        <f>'Stavební rozpočet'!H101</f>
        <v>0</v>
      </c>
      <c r="E16" s="34">
        <f>'Stavební rozpočet'!I101</f>
        <v>0</v>
      </c>
      <c r="F16" s="34">
        <f t="shared" si="0"/>
        <v>0</v>
      </c>
      <c r="G16" s="34">
        <f>'Stavební rozpočet'!L101</f>
        <v>0</v>
      </c>
      <c r="H16" s="34" t="s">
        <v>352</v>
      </c>
      <c r="I16" s="34">
        <f t="shared" si="1"/>
        <v>0</v>
      </c>
    </row>
    <row r="17" spans="1:9" ht="12.75">
      <c r="A17" s="15"/>
      <c r="B17" s="15" t="s">
        <v>189</v>
      </c>
      <c r="C17" s="15" t="s">
        <v>202</v>
      </c>
      <c r="D17" s="34">
        <f>'Stavební rozpočet'!H103</f>
        <v>0</v>
      </c>
      <c r="E17" s="34">
        <f>'Stavební rozpočet'!I103</f>
        <v>0</v>
      </c>
      <c r="F17" s="34">
        <f t="shared" si="0"/>
        <v>0</v>
      </c>
      <c r="G17" s="34">
        <f>'Stavební rozpočet'!L103</f>
        <v>0</v>
      </c>
      <c r="H17" s="34" t="s">
        <v>352</v>
      </c>
      <c r="I17" s="34">
        <f t="shared" si="1"/>
        <v>0</v>
      </c>
    </row>
    <row r="18" spans="1:9" ht="12.75">
      <c r="A18" s="15"/>
      <c r="B18" s="15" t="s">
        <v>191</v>
      </c>
      <c r="C18" s="15" t="s">
        <v>218</v>
      </c>
      <c r="D18" s="34">
        <f>'Stavební rozpočet'!H105</f>
        <v>0</v>
      </c>
      <c r="E18" s="34">
        <f>'Stavební rozpočet'!I105</f>
        <v>0</v>
      </c>
      <c r="F18" s="34">
        <f t="shared" si="0"/>
        <v>0</v>
      </c>
      <c r="G18" s="34">
        <f>'Stavební rozpočet'!L105</f>
        <v>0</v>
      </c>
      <c r="H18" s="34" t="s">
        <v>352</v>
      </c>
      <c r="I18" s="34">
        <f t="shared" si="1"/>
        <v>0</v>
      </c>
    </row>
    <row r="19" spans="1:9" ht="12.75">
      <c r="A19" s="15"/>
      <c r="B19" s="15" t="s">
        <v>193</v>
      </c>
      <c r="C19" s="15" t="s">
        <v>245</v>
      </c>
      <c r="D19" s="34">
        <f>'Stavební rozpočet'!H107</f>
        <v>0</v>
      </c>
      <c r="E19" s="34">
        <f>'Stavební rozpočet'!I107</f>
        <v>0</v>
      </c>
      <c r="F19" s="34">
        <f t="shared" si="0"/>
        <v>0</v>
      </c>
      <c r="G19" s="34">
        <f>'Stavební rozpočet'!L107</f>
        <v>0</v>
      </c>
      <c r="H19" s="34" t="s">
        <v>352</v>
      </c>
      <c r="I19" s="34">
        <f t="shared" si="1"/>
        <v>0</v>
      </c>
    </row>
    <row r="21" spans="5:6" ht="12.75">
      <c r="E21" s="44" t="s">
        <v>310</v>
      </c>
      <c r="F21" s="47">
        <f>SUM(I11:I19)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6.8515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70" t="s">
        <v>353</v>
      </c>
      <c r="B1" s="71"/>
      <c r="C1" s="71"/>
      <c r="D1" s="71"/>
      <c r="E1" s="71"/>
      <c r="F1" s="71"/>
      <c r="G1" s="71"/>
      <c r="H1" s="71"/>
    </row>
    <row r="2" spans="1:9" ht="12.75">
      <c r="A2" s="72" t="s">
        <v>1</v>
      </c>
      <c r="B2" s="73"/>
      <c r="C2" s="76" t="str">
        <f>'Stavební rozpočet'!D2</f>
        <v>Rekonstrukce vytápění</v>
      </c>
      <c r="D2" s="92"/>
      <c r="E2" s="79" t="s">
        <v>311</v>
      </c>
      <c r="F2" s="79" t="str">
        <f>'Stavební rozpočet'!J2</f>
        <v>Statutární město Chomutov</v>
      </c>
      <c r="G2" s="73"/>
      <c r="H2" s="80"/>
      <c r="I2" s="32"/>
    </row>
    <row r="3" spans="1:9" ht="12.75">
      <c r="A3" s="74"/>
      <c r="B3" s="75"/>
      <c r="C3" s="77"/>
      <c r="D3" s="77"/>
      <c r="E3" s="75"/>
      <c r="F3" s="75"/>
      <c r="G3" s="75"/>
      <c r="H3" s="81"/>
      <c r="I3" s="32"/>
    </row>
    <row r="4" spans="1:9" ht="12.75">
      <c r="A4" s="82" t="s">
        <v>2</v>
      </c>
      <c r="B4" s="75"/>
      <c r="C4" s="83" t="str">
        <f>'Stavební rozpočet'!D4</f>
        <v>Středisko volného času Domeček</v>
      </c>
      <c r="D4" s="75"/>
      <c r="E4" s="83" t="s">
        <v>312</v>
      </c>
      <c r="F4" s="83" t="str">
        <f>'Stavební rozpočet'!J4</f>
        <v>INTER ART PROJEKT s.r.o.</v>
      </c>
      <c r="G4" s="75"/>
      <c r="H4" s="81"/>
      <c r="I4" s="32"/>
    </row>
    <row r="5" spans="1:9" ht="12.75">
      <c r="A5" s="74"/>
      <c r="B5" s="75"/>
      <c r="C5" s="75"/>
      <c r="D5" s="75"/>
      <c r="E5" s="75"/>
      <c r="F5" s="75"/>
      <c r="G5" s="75"/>
      <c r="H5" s="81"/>
      <c r="I5" s="32"/>
    </row>
    <row r="6" spans="1:9" ht="12.75">
      <c r="A6" s="82" t="s">
        <v>3</v>
      </c>
      <c r="B6" s="75"/>
      <c r="C6" s="83" t="str">
        <f>'Stavební rozpočet'!D6</f>
        <v>Chomutov</v>
      </c>
      <c r="D6" s="75"/>
      <c r="E6" s="83" t="s">
        <v>313</v>
      </c>
      <c r="F6" s="83" t="str">
        <f>'Stavební rozpočet'!J6</f>
        <v>výběrové řízení</v>
      </c>
      <c r="G6" s="75"/>
      <c r="H6" s="81"/>
      <c r="I6" s="32"/>
    </row>
    <row r="7" spans="1:9" ht="12.75">
      <c r="A7" s="74"/>
      <c r="B7" s="75"/>
      <c r="C7" s="75"/>
      <c r="D7" s="75"/>
      <c r="E7" s="75"/>
      <c r="F7" s="75"/>
      <c r="G7" s="75"/>
      <c r="H7" s="81"/>
      <c r="I7" s="32"/>
    </row>
    <row r="8" spans="1:9" ht="12.75">
      <c r="A8" s="82" t="s">
        <v>314</v>
      </c>
      <c r="B8" s="75"/>
      <c r="C8" s="83" t="str">
        <f>'Stavební rozpočet'!J8</f>
        <v>Šefl</v>
      </c>
      <c r="D8" s="75"/>
      <c r="E8" s="83" t="s">
        <v>292</v>
      </c>
      <c r="F8" s="83" t="str">
        <f>'Stavební rozpočet'!G8</f>
        <v>10.06.2018</v>
      </c>
      <c r="G8" s="75"/>
      <c r="H8" s="81"/>
      <c r="I8" s="32"/>
    </row>
    <row r="9" spans="1:9" ht="12.75">
      <c r="A9" s="85"/>
      <c r="B9" s="86"/>
      <c r="C9" s="86"/>
      <c r="D9" s="86"/>
      <c r="E9" s="86"/>
      <c r="F9" s="86"/>
      <c r="G9" s="86"/>
      <c r="H9" s="87"/>
      <c r="I9" s="32"/>
    </row>
    <row r="10" spans="1:9" ht="12.75">
      <c r="A10" s="41" t="s">
        <v>5</v>
      </c>
      <c r="B10" s="42" t="s">
        <v>96</v>
      </c>
      <c r="C10" s="42" t="s">
        <v>97</v>
      </c>
      <c r="D10" s="93" t="s">
        <v>198</v>
      </c>
      <c r="E10" s="94"/>
      <c r="F10" s="42" t="s">
        <v>293</v>
      </c>
      <c r="G10" s="49" t="s">
        <v>301</v>
      </c>
      <c r="H10" s="39" t="s">
        <v>373</v>
      </c>
      <c r="I10" s="33"/>
    </row>
    <row r="11" spans="1:8" ht="12.75">
      <c r="A11" s="48" t="s">
        <v>7</v>
      </c>
      <c r="B11" s="48"/>
      <c r="C11" s="48" t="s">
        <v>99</v>
      </c>
      <c r="D11" s="95" t="s">
        <v>201</v>
      </c>
      <c r="E11" s="96"/>
      <c r="F11" s="48" t="s">
        <v>294</v>
      </c>
      <c r="G11" s="50">
        <v>6</v>
      </c>
      <c r="H11" s="51" t="s">
        <v>324</v>
      </c>
    </row>
    <row r="12" spans="1:8" ht="12.75">
      <c r="A12" s="4" t="s">
        <v>8</v>
      </c>
      <c r="B12" s="4"/>
      <c r="C12" s="4" t="s">
        <v>100</v>
      </c>
      <c r="D12" s="97" t="s">
        <v>201</v>
      </c>
      <c r="E12" s="98"/>
      <c r="F12" s="4" t="s">
        <v>294</v>
      </c>
      <c r="G12" s="17">
        <v>128</v>
      </c>
      <c r="H12" s="29" t="s">
        <v>324</v>
      </c>
    </row>
    <row r="13" spans="1:8" ht="12.75">
      <c r="A13" s="4" t="s">
        <v>9</v>
      </c>
      <c r="B13" s="4"/>
      <c r="C13" s="4" t="s">
        <v>101</v>
      </c>
      <c r="D13" s="97" t="s">
        <v>201</v>
      </c>
      <c r="E13" s="98"/>
      <c r="F13" s="4" t="s">
        <v>294</v>
      </c>
      <c r="G13" s="17">
        <v>39</v>
      </c>
      <c r="H13" s="29" t="s">
        <v>324</v>
      </c>
    </row>
    <row r="14" spans="1:8" ht="12.75">
      <c r="A14" s="4" t="s">
        <v>10</v>
      </c>
      <c r="B14" s="4"/>
      <c r="C14" s="4" t="s">
        <v>102</v>
      </c>
      <c r="D14" s="97" t="s">
        <v>201</v>
      </c>
      <c r="E14" s="98"/>
      <c r="F14" s="4" t="s">
        <v>294</v>
      </c>
      <c r="G14" s="17">
        <v>17</v>
      </c>
      <c r="H14" s="29" t="s">
        <v>324</v>
      </c>
    </row>
    <row r="15" spans="1:8" ht="12.75">
      <c r="A15" s="4" t="s">
        <v>11</v>
      </c>
      <c r="B15" s="4"/>
      <c r="C15" s="4" t="s">
        <v>103</v>
      </c>
      <c r="D15" s="97" t="s">
        <v>201</v>
      </c>
      <c r="E15" s="98"/>
      <c r="F15" s="4" t="s">
        <v>294</v>
      </c>
      <c r="G15" s="17">
        <v>140</v>
      </c>
      <c r="H15" s="29" t="s">
        <v>324</v>
      </c>
    </row>
    <row r="16" spans="1:7" ht="12.75">
      <c r="A16" s="4"/>
      <c r="B16" s="4"/>
      <c r="C16" s="4"/>
      <c r="D16" s="97" t="s">
        <v>354</v>
      </c>
      <c r="E16" s="98"/>
      <c r="F16" s="4"/>
      <c r="G16" s="17">
        <v>140</v>
      </c>
    </row>
    <row r="17" spans="1:8" ht="12.75">
      <c r="A17" s="4" t="s">
        <v>12</v>
      </c>
      <c r="B17" s="4"/>
      <c r="C17" s="4" t="s">
        <v>105</v>
      </c>
      <c r="D17" s="97" t="s">
        <v>203</v>
      </c>
      <c r="E17" s="98"/>
      <c r="F17" s="4" t="s">
        <v>295</v>
      </c>
      <c r="G17" s="17">
        <v>330</v>
      </c>
      <c r="H17" s="29" t="s">
        <v>324</v>
      </c>
    </row>
    <row r="18" spans="1:8" ht="12.75">
      <c r="A18" s="4" t="s">
        <v>13</v>
      </c>
      <c r="B18" s="4"/>
      <c r="C18" s="4" t="s">
        <v>106</v>
      </c>
      <c r="D18" s="97" t="s">
        <v>204</v>
      </c>
      <c r="E18" s="98"/>
      <c r="F18" s="4" t="s">
        <v>294</v>
      </c>
      <c r="G18" s="17">
        <v>925</v>
      </c>
      <c r="H18" s="29" t="s">
        <v>324</v>
      </c>
    </row>
    <row r="19" spans="1:7" ht="12.75">
      <c r="A19" s="4"/>
      <c r="B19" s="4"/>
      <c r="C19" s="4"/>
      <c r="D19" s="97" t="s">
        <v>355</v>
      </c>
      <c r="E19" s="98"/>
      <c r="F19" s="4"/>
      <c r="G19" s="17">
        <v>925</v>
      </c>
    </row>
    <row r="20" spans="1:8" ht="12.75">
      <c r="A20" s="4" t="s">
        <v>14</v>
      </c>
      <c r="B20" s="4"/>
      <c r="C20" s="4" t="s">
        <v>107</v>
      </c>
      <c r="D20" s="97" t="s">
        <v>205</v>
      </c>
      <c r="E20" s="98"/>
      <c r="F20" s="4" t="s">
        <v>294</v>
      </c>
      <c r="G20" s="17">
        <v>402</v>
      </c>
      <c r="H20" s="29" t="s">
        <v>324</v>
      </c>
    </row>
    <row r="21" spans="1:7" ht="12.75">
      <c r="A21" s="4"/>
      <c r="B21" s="4"/>
      <c r="C21" s="4"/>
      <c r="D21" s="97" t="s">
        <v>356</v>
      </c>
      <c r="E21" s="98"/>
      <c r="F21" s="4"/>
      <c r="G21" s="17">
        <v>402</v>
      </c>
    </row>
    <row r="22" spans="1:8" ht="12.75">
      <c r="A22" s="4" t="s">
        <v>15</v>
      </c>
      <c r="B22" s="4"/>
      <c r="C22" s="4" t="s">
        <v>108</v>
      </c>
      <c r="D22" s="97" t="s">
        <v>206</v>
      </c>
      <c r="E22" s="98"/>
      <c r="F22" s="4" t="s">
        <v>294</v>
      </c>
      <c r="G22" s="17">
        <v>342</v>
      </c>
      <c r="H22" s="29" t="s">
        <v>324</v>
      </c>
    </row>
    <row r="23" spans="1:7" ht="12.75">
      <c r="A23" s="4"/>
      <c r="B23" s="4"/>
      <c r="C23" s="4"/>
      <c r="D23" s="97" t="s">
        <v>357</v>
      </c>
      <c r="E23" s="98"/>
      <c r="F23" s="4"/>
      <c r="G23" s="17">
        <v>342</v>
      </c>
    </row>
    <row r="24" spans="1:8" ht="12.75">
      <c r="A24" s="4" t="s">
        <v>16</v>
      </c>
      <c r="B24" s="4"/>
      <c r="C24" s="4" t="s">
        <v>109</v>
      </c>
      <c r="D24" s="97" t="s">
        <v>207</v>
      </c>
      <c r="E24" s="98"/>
      <c r="F24" s="4" t="s">
        <v>294</v>
      </c>
      <c r="G24" s="17">
        <v>189</v>
      </c>
      <c r="H24" s="29" t="s">
        <v>324</v>
      </c>
    </row>
    <row r="25" spans="1:7" ht="12.75">
      <c r="A25" s="4"/>
      <c r="B25" s="4"/>
      <c r="C25" s="4"/>
      <c r="D25" s="97" t="s">
        <v>358</v>
      </c>
      <c r="E25" s="98"/>
      <c r="F25" s="4"/>
      <c r="G25" s="17">
        <v>189</v>
      </c>
    </row>
    <row r="26" spans="1:8" ht="12.75">
      <c r="A26" s="4" t="s">
        <v>17</v>
      </c>
      <c r="B26" s="4"/>
      <c r="C26" s="4" t="s">
        <v>110</v>
      </c>
      <c r="D26" s="97" t="s">
        <v>208</v>
      </c>
      <c r="E26" s="98"/>
      <c r="F26" s="4" t="s">
        <v>294</v>
      </c>
      <c r="G26" s="17">
        <v>17</v>
      </c>
      <c r="H26" s="29" t="s">
        <v>324</v>
      </c>
    </row>
    <row r="27" spans="1:7" ht="12.75">
      <c r="A27" s="4"/>
      <c r="B27" s="4"/>
      <c r="C27" s="4"/>
      <c r="D27" s="97" t="s">
        <v>23</v>
      </c>
      <c r="E27" s="98"/>
      <c r="F27" s="4"/>
      <c r="G27" s="17">
        <v>17</v>
      </c>
    </row>
    <row r="28" spans="1:8" ht="12.75">
      <c r="A28" s="4" t="s">
        <v>18</v>
      </c>
      <c r="B28" s="4"/>
      <c r="C28" s="4" t="s">
        <v>111</v>
      </c>
      <c r="D28" s="97" t="s">
        <v>209</v>
      </c>
      <c r="E28" s="98"/>
      <c r="F28" s="4" t="s">
        <v>294</v>
      </c>
      <c r="G28" s="17">
        <v>39</v>
      </c>
      <c r="H28" s="29" t="s">
        <v>324</v>
      </c>
    </row>
    <row r="29" spans="1:7" ht="12.75">
      <c r="A29" s="4"/>
      <c r="B29" s="4"/>
      <c r="C29" s="4"/>
      <c r="D29" s="97" t="s">
        <v>45</v>
      </c>
      <c r="E29" s="98"/>
      <c r="F29" s="4"/>
      <c r="G29" s="17">
        <v>39</v>
      </c>
    </row>
    <row r="30" spans="1:8" ht="12.75">
      <c r="A30" s="4" t="s">
        <v>19</v>
      </c>
      <c r="B30" s="4"/>
      <c r="C30" s="4" t="s">
        <v>112</v>
      </c>
      <c r="D30" s="97" t="s">
        <v>210</v>
      </c>
      <c r="E30" s="98"/>
      <c r="F30" s="4" t="s">
        <v>294</v>
      </c>
      <c r="G30" s="17">
        <v>128</v>
      </c>
      <c r="H30" s="29" t="s">
        <v>324</v>
      </c>
    </row>
    <row r="31" spans="1:8" ht="12.75">
      <c r="A31" s="4" t="s">
        <v>20</v>
      </c>
      <c r="B31" s="4"/>
      <c r="C31" s="4" t="s">
        <v>113</v>
      </c>
      <c r="D31" s="97" t="s">
        <v>211</v>
      </c>
      <c r="E31" s="98"/>
      <c r="F31" s="4" t="s">
        <v>294</v>
      </c>
      <c r="G31" s="17">
        <v>6</v>
      </c>
      <c r="H31" s="29" t="s">
        <v>324</v>
      </c>
    </row>
    <row r="32" spans="1:7" ht="12.75">
      <c r="A32" s="4"/>
      <c r="B32" s="4"/>
      <c r="C32" s="4"/>
      <c r="D32" s="97" t="s">
        <v>12</v>
      </c>
      <c r="E32" s="98"/>
      <c r="F32" s="4"/>
      <c r="G32" s="17">
        <v>6</v>
      </c>
    </row>
    <row r="33" spans="1:8" ht="12.75">
      <c r="A33" s="4" t="s">
        <v>21</v>
      </c>
      <c r="B33" s="4"/>
      <c r="C33" s="4" t="s">
        <v>114</v>
      </c>
      <c r="D33" s="97" t="s">
        <v>212</v>
      </c>
      <c r="E33" s="98"/>
      <c r="F33" s="4" t="s">
        <v>294</v>
      </c>
      <c r="G33" s="17">
        <v>1700</v>
      </c>
      <c r="H33" s="29" t="s">
        <v>324</v>
      </c>
    </row>
    <row r="34" spans="1:7" ht="12.75">
      <c r="A34" s="4"/>
      <c r="B34" s="4"/>
      <c r="C34" s="4"/>
      <c r="D34" s="97" t="s">
        <v>359</v>
      </c>
      <c r="E34" s="98"/>
      <c r="F34" s="4"/>
      <c r="G34" s="17">
        <v>1700</v>
      </c>
    </row>
    <row r="35" spans="1:8" ht="12.75">
      <c r="A35" s="4" t="s">
        <v>22</v>
      </c>
      <c r="B35" s="4"/>
      <c r="C35" s="4" t="s">
        <v>115</v>
      </c>
      <c r="D35" s="97" t="s">
        <v>213</v>
      </c>
      <c r="E35" s="98"/>
      <c r="F35" s="4" t="s">
        <v>294</v>
      </c>
      <c r="G35" s="17">
        <v>6</v>
      </c>
      <c r="H35" s="29" t="s">
        <v>324</v>
      </c>
    </row>
    <row r="36" spans="1:8" ht="12.75">
      <c r="A36" s="4" t="s">
        <v>23</v>
      </c>
      <c r="B36" s="4"/>
      <c r="C36" s="4" t="s">
        <v>116</v>
      </c>
      <c r="D36" s="97" t="s">
        <v>214</v>
      </c>
      <c r="E36" s="98"/>
      <c r="F36" s="4" t="s">
        <v>295</v>
      </c>
      <c r="G36" s="17">
        <v>18</v>
      </c>
      <c r="H36" s="29" t="s">
        <v>324</v>
      </c>
    </row>
    <row r="37" spans="1:7" ht="12.75">
      <c r="A37" s="4"/>
      <c r="B37" s="4"/>
      <c r="C37" s="4"/>
      <c r="D37" s="97" t="s">
        <v>24</v>
      </c>
      <c r="E37" s="98"/>
      <c r="F37" s="4"/>
      <c r="G37" s="17">
        <v>18</v>
      </c>
    </row>
    <row r="38" spans="1:8" ht="12.75">
      <c r="A38" s="4" t="s">
        <v>24</v>
      </c>
      <c r="B38" s="4"/>
      <c r="C38" s="4" t="s">
        <v>117</v>
      </c>
      <c r="D38" s="97" t="s">
        <v>215</v>
      </c>
      <c r="E38" s="98"/>
      <c r="F38" s="4" t="s">
        <v>294</v>
      </c>
      <c r="G38" s="17">
        <v>750</v>
      </c>
      <c r="H38" s="29" t="s">
        <v>324</v>
      </c>
    </row>
    <row r="39" spans="1:7" ht="12.75">
      <c r="A39" s="4"/>
      <c r="B39" s="4"/>
      <c r="C39" s="4"/>
      <c r="D39" s="97" t="s">
        <v>360</v>
      </c>
      <c r="E39" s="98"/>
      <c r="F39" s="4"/>
      <c r="G39" s="17">
        <v>750</v>
      </c>
    </row>
    <row r="40" spans="1:8" ht="12.75">
      <c r="A40" s="4" t="s">
        <v>25</v>
      </c>
      <c r="B40" s="4"/>
      <c r="C40" s="4" t="s">
        <v>118</v>
      </c>
      <c r="D40" s="97" t="s">
        <v>216</v>
      </c>
      <c r="E40" s="98"/>
      <c r="F40" s="4" t="s">
        <v>295</v>
      </c>
      <c r="G40" s="17">
        <v>500</v>
      </c>
      <c r="H40" s="29" t="s">
        <v>324</v>
      </c>
    </row>
    <row r="41" spans="1:7" ht="12.75">
      <c r="A41" s="4"/>
      <c r="B41" s="4"/>
      <c r="C41" s="4"/>
      <c r="D41" s="97" t="s">
        <v>361</v>
      </c>
      <c r="E41" s="98"/>
      <c r="F41" s="4"/>
      <c r="G41" s="17">
        <v>500</v>
      </c>
    </row>
    <row r="42" spans="1:8" ht="12.75">
      <c r="A42" s="4" t="s">
        <v>26</v>
      </c>
      <c r="B42" s="4"/>
      <c r="C42" s="4" t="s">
        <v>119</v>
      </c>
      <c r="D42" s="97" t="s">
        <v>217</v>
      </c>
      <c r="E42" s="98"/>
      <c r="F42" s="4" t="s">
        <v>296</v>
      </c>
      <c r="G42" s="17">
        <v>2.485</v>
      </c>
      <c r="H42" s="29" t="s">
        <v>324</v>
      </c>
    </row>
    <row r="43" spans="1:7" ht="12.75">
      <c r="A43" s="4"/>
      <c r="B43" s="4"/>
      <c r="C43" s="4"/>
      <c r="D43" s="97" t="s">
        <v>362</v>
      </c>
      <c r="E43" s="98"/>
      <c r="F43" s="4"/>
      <c r="G43" s="17">
        <v>2.485</v>
      </c>
    </row>
    <row r="44" spans="1:8" ht="12.75">
      <c r="A44" s="4" t="s">
        <v>27</v>
      </c>
      <c r="B44" s="4"/>
      <c r="C44" s="4" t="s">
        <v>121</v>
      </c>
      <c r="D44" s="97" t="s">
        <v>219</v>
      </c>
      <c r="E44" s="98"/>
      <c r="F44" s="4" t="s">
        <v>295</v>
      </c>
      <c r="G44" s="17">
        <v>165</v>
      </c>
      <c r="H44" s="29" t="s">
        <v>324</v>
      </c>
    </row>
    <row r="45" spans="1:8" ht="12.75">
      <c r="A45" s="4" t="s">
        <v>28</v>
      </c>
      <c r="B45" s="4"/>
      <c r="C45" s="4" t="s">
        <v>122</v>
      </c>
      <c r="D45" s="97" t="s">
        <v>220</v>
      </c>
      <c r="E45" s="98"/>
      <c r="F45" s="4" t="s">
        <v>295</v>
      </c>
      <c r="G45" s="17">
        <v>165</v>
      </c>
      <c r="H45" s="29" t="s">
        <v>324</v>
      </c>
    </row>
    <row r="46" spans="1:8" ht="12.75">
      <c r="A46" s="4" t="s">
        <v>29</v>
      </c>
      <c r="B46" s="4"/>
      <c r="C46" s="4" t="s">
        <v>123</v>
      </c>
      <c r="D46" s="97" t="s">
        <v>221</v>
      </c>
      <c r="E46" s="98"/>
      <c r="F46" s="4" t="s">
        <v>295</v>
      </c>
      <c r="G46" s="17">
        <v>330</v>
      </c>
      <c r="H46" s="29" t="s">
        <v>324</v>
      </c>
    </row>
    <row r="47" spans="1:8" ht="12.75">
      <c r="A47" s="4" t="s">
        <v>30</v>
      </c>
      <c r="B47" s="4"/>
      <c r="C47" s="4" t="s">
        <v>124</v>
      </c>
      <c r="D47" s="97" t="s">
        <v>222</v>
      </c>
      <c r="E47" s="98"/>
      <c r="F47" s="4" t="s">
        <v>295</v>
      </c>
      <c r="G47" s="17">
        <v>330</v>
      </c>
      <c r="H47" s="29" t="s">
        <v>324</v>
      </c>
    </row>
    <row r="48" spans="1:8" ht="12.75">
      <c r="A48" s="4" t="s">
        <v>31</v>
      </c>
      <c r="B48" s="4"/>
      <c r="C48" s="4" t="s">
        <v>125</v>
      </c>
      <c r="D48" s="97" t="s">
        <v>223</v>
      </c>
      <c r="E48" s="98"/>
      <c r="F48" s="4" t="s">
        <v>295</v>
      </c>
      <c r="G48" s="17">
        <v>165</v>
      </c>
      <c r="H48" s="29" t="s">
        <v>324</v>
      </c>
    </row>
    <row r="49" spans="1:8" ht="12.75">
      <c r="A49" s="4" t="s">
        <v>32</v>
      </c>
      <c r="B49" s="4"/>
      <c r="C49" s="4" t="s">
        <v>126</v>
      </c>
      <c r="D49" s="97" t="s">
        <v>224</v>
      </c>
      <c r="E49" s="98"/>
      <c r="F49" s="4" t="s">
        <v>295</v>
      </c>
      <c r="G49" s="17">
        <v>2</v>
      </c>
      <c r="H49" s="29" t="s">
        <v>324</v>
      </c>
    </row>
    <row r="50" spans="1:8" ht="12.75">
      <c r="A50" s="4" t="s">
        <v>33</v>
      </c>
      <c r="B50" s="4"/>
      <c r="C50" s="4" t="s">
        <v>127</v>
      </c>
      <c r="D50" s="97" t="s">
        <v>225</v>
      </c>
      <c r="E50" s="98"/>
      <c r="F50" s="4" t="s">
        <v>295</v>
      </c>
      <c r="G50" s="17">
        <v>330</v>
      </c>
      <c r="H50" s="29" t="s">
        <v>324</v>
      </c>
    </row>
    <row r="51" spans="1:7" ht="12.75">
      <c r="A51" s="4"/>
      <c r="B51" s="4"/>
      <c r="C51" s="4"/>
      <c r="D51" s="97" t="s">
        <v>363</v>
      </c>
      <c r="E51" s="98"/>
      <c r="F51" s="4"/>
      <c r="G51" s="17">
        <v>330</v>
      </c>
    </row>
    <row r="52" spans="1:8" ht="12.75">
      <c r="A52" s="4" t="s">
        <v>34</v>
      </c>
      <c r="B52" s="4"/>
      <c r="C52" s="4" t="s">
        <v>128</v>
      </c>
      <c r="D52" s="97" t="s">
        <v>226</v>
      </c>
      <c r="E52" s="98"/>
      <c r="F52" s="4" t="s">
        <v>295</v>
      </c>
      <c r="G52" s="17">
        <v>20</v>
      </c>
      <c r="H52" s="29" t="s">
        <v>324</v>
      </c>
    </row>
    <row r="53" spans="1:8" ht="12.75">
      <c r="A53" s="4" t="s">
        <v>35</v>
      </c>
      <c r="B53" s="4"/>
      <c r="C53" s="4" t="s">
        <v>129</v>
      </c>
      <c r="D53" s="97" t="s">
        <v>227</v>
      </c>
      <c r="E53" s="98"/>
      <c r="F53" s="4" t="s">
        <v>295</v>
      </c>
      <c r="G53" s="17">
        <v>10</v>
      </c>
      <c r="H53" s="29" t="s">
        <v>324</v>
      </c>
    </row>
    <row r="54" spans="1:8" ht="12.75">
      <c r="A54" s="4" t="s">
        <v>36</v>
      </c>
      <c r="B54" s="4"/>
      <c r="C54" s="4" t="s">
        <v>130</v>
      </c>
      <c r="D54" s="97" t="s">
        <v>228</v>
      </c>
      <c r="E54" s="98"/>
      <c r="F54" s="4" t="s">
        <v>295</v>
      </c>
      <c r="G54" s="17">
        <v>12</v>
      </c>
      <c r="H54" s="29" t="s">
        <v>324</v>
      </c>
    </row>
    <row r="55" spans="1:8" ht="12.75">
      <c r="A55" s="6" t="s">
        <v>37</v>
      </c>
      <c r="B55" s="6"/>
      <c r="C55" s="6" t="s">
        <v>131</v>
      </c>
      <c r="D55" s="99" t="s">
        <v>229</v>
      </c>
      <c r="E55" s="100"/>
      <c r="F55" s="6" t="s">
        <v>297</v>
      </c>
      <c r="G55" s="18">
        <v>5</v>
      </c>
      <c r="H55" s="30" t="s">
        <v>324</v>
      </c>
    </row>
    <row r="56" spans="1:8" ht="12.75">
      <c r="A56" s="6" t="s">
        <v>38</v>
      </c>
      <c r="B56" s="6"/>
      <c r="C56" s="6" t="s">
        <v>132</v>
      </c>
      <c r="D56" s="99" t="s">
        <v>230</v>
      </c>
      <c r="E56" s="100"/>
      <c r="F56" s="6" t="s">
        <v>297</v>
      </c>
      <c r="G56" s="18">
        <v>7</v>
      </c>
      <c r="H56" s="30" t="s">
        <v>324</v>
      </c>
    </row>
    <row r="57" spans="1:7" ht="12.75">
      <c r="A57" s="6"/>
      <c r="B57" s="6"/>
      <c r="C57" s="6"/>
      <c r="D57" s="99" t="s">
        <v>13</v>
      </c>
      <c r="E57" s="100"/>
      <c r="F57" s="6"/>
      <c r="G57" s="18">
        <v>7</v>
      </c>
    </row>
    <row r="58" spans="1:8" ht="12.75">
      <c r="A58" s="4" t="s">
        <v>39</v>
      </c>
      <c r="B58" s="4"/>
      <c r="C58" s="4" t="s">
        <v>133</v>
      </c>
      <c r="D58" s="97" t="s">
        <v>231</v>
      </c>
      <c r="E58" s="98"/>
      <c r="F58" s="4" t="s">
        <v>295</v>
      </c>
      <c r="G58" s="17">
        <v>10</v>
      </c>
      <c r="H58" s="29" t="s">
        <v>324</v>
      </c>
    </row>
    <row r="59" spans="1:8" ht="12.75">
      <c r="A59" s="6" t="s">
        <v>40</v>
      </c>
      <c r="B59" s="6"/>
      <c r="C59" s="6" t="s">
        <v>134</v>
      </c>
      <c r="D59" s="99" t="s">
        <v>232</v>
      </c>
      <c r="E59" s="100"/>
      <c r="F59" s="6" t="s">
        <v>297</v>
      </c>
      <c r="G59" s="18">
        <v>6</v>
      </c>
      <c r="H59" s="30" t="s">
        <v>324</v>
      </c>
    </row>
    <row r="60" spans="1:8" ht="12.75">
      <c r="A60" s="6" t="s">
        <v>41</v>
      </c>
      <c r="B60" s="6"/>
      <c r="C60" s="6" t="s">
        <v>135</v>
      </c>
      <c r="D60" s="99" t="s">
        <v>233</v>
      </c>
      <c r="E60" s="100"/>
      <c r="F60" s="6" t="s">
        <v>297</v>
      </c>
      <c r="G60" s="18">
        <v>4</v>
      </c>
      <c r="H60" s="30" t="s">
        <v>324</v>
      </c>
    </row>
    <row r="61" spans="1:8" ht="12.75">
      <c r="A61" s="4" t="s">
        <v>42</v>
      </c>
      <c r="B61" s="4"/>
      <c r="C61" s="4" t="s">
        <v>136</v>
      </c>
      <c r="D61" s="97" t="s">
        <v>234</v>
      </c>
      <c r="E61" s="98"/>
      <c r="F61" s="4" t="s">
        <v>295</v>
      </c>
      <c r="G61" s="17">
        <v>2</v>
      </c>
      <c r="H61" s="29" t="s">
        <v>324</v>
      </c>
    </row>
    <row r="62" spans="1:8" ht="12.75">
      <c r="A62" s="6" t="s">
        <v>43</v>
      </c>
      <c r="B62" s="6"/>
      <c r="C62" s="6" t="s">
        <v>137</v>
      </c>
      <c r="D62" s="99" t="s">
        <v>235</v>
      </c>
      <c r="E62" s="100"/>
      <c r="F62" s="6" t="s">
        <v>297</v>
      </c>
      <c r="G62" s="18">
        <v>1</v>
      </c>
      <c r="H62" s="30" t="s">
        <v>324</v>
      </c>
    </row>
    <row r="63" spans="1:8" ht="12.75">
      <c r="A63" s="6" t="s">
        <v>44</v>
      </c>
      <c r="B63" s="6"/>
      <c r="C63" s="6" t="s">
        <v>138</v>
      </c>
      <c r="D63" s="99" t="s">
        <v>236</v>
      </c>
      <c r="E63" s="100"/>
      <c r="F63" s="6" t="s">
        <v>297</v>
      </c>
      <c r="G63" s="18">
        <v>1</v>
      </c>
      <c r="H63" s="30" t="s">
        <v>324</v>
      </c>
    </row>
    <row r="64" spans="1:8" ht="12.75">
      <c r="A64" s="4" t="s">
        <v>45</v>
      </c>
      <c r="B64" s="4"/>
      <c r="C64" s="4" t="s">
        <v>139</v>
      </c>
      <c r="D64" s="97" t="s">
        <v>237</v>
      </c>
      <c r="E64" s="98"/>
      <c r="F64" s="4" t="s">
        <v>295</v>
      </c>
      <c r="G64" s="17">
        <v>8</v>
      </c>
      <c r="H64" s="29" t="s">
        <v>324</v>
      </c>
    </row>
    <row r="65" spans="1:7" ht="12.75">
      <c r="A65" s="4"/>
      <c r="B65" s="4"/>
      <c r="C65" s="4"/>
      <c r="D65" s="97" t="s">
        <v>14</v>
      </c>
      <c r="E65" s="98"/>
      <c r="F65" s="4"/>
      <c r="G65" s="17">
        <v>8</v>
      </c>
    </row>
    <row r="66" spans="1:8" ht="12.75">
      <c r="A66" s="4" t="s">
        <v>46</v>
      </c>
      <c r="B66" s="4"/>
      <c r="C66" s="4" t="s">
        <v>140</v>
      </c>
      <c r="D66" s="97" t="s">
        <v>238</v>
      </c>
      <c r="E66" s="98"/>
      <c r="F66" s="4" t="s">
        <v>295</v>
      </c>
      <c r="G66" s="17">
        <v>4</v>
      </c>
      <c r="H66" s="29" t="s">
        <v>324</v>
      </c>
    </row>
    <row r="67" spans="1:7" ht="12.75">
      <c r="A67" s="4"/>
      <c r="B67" s="4"/>
      <c r="C67" s="4"/>
      <c r="D67" s="97" t="s">
        <v>10</v>
      </c>
      <c r="E67" s="98"/>
      <c r="F67" s="4"/>
      <c r="G67" s="17">
        <v>4</v>
      </c>
    </row>
    <row r="68" spans="1:8" ht="12.75">
      <c r="A68" s="4" t="s">
        <v>47</v>
      </c>
      <c r="B68" s="4"/>
      <c r="C68" s="4" t="s">
        <v>141</v>
      </c>
      <c r="D68" s="97" t="s">
        <v>239</v>
      </c>
      <c r="E68" s="98"/>
      <c r="F68" s="4" t="s">
        <v>295</v>
      </c>
      <c r="G68" s="17">
        <v>8</v>
      </c>
      <c r="H68" s="29" t="s">
        <v>324</v>
      </c>
    </row>
    <row r="69" spans="1:7" ht="12.75">
      <c r="A69" s="4"/>
      <c r="B69" s="4"/>
      <c r="C69" s="4"/>
      <c r="D69" s="97" t="s">
        <v>14</v>
      </c>
      <c r="E69" s="98"/>
      <c r="F69" s="4"/>
      <c r="G69" s="17">
        <v>8</v>
      </c>
    </row>
    <row r="70" spans="1:8" ht="12.75">
      <c r="A70" s="4" t="s">
        <v>48</v>
      </c>
      <c r="B70" s="4"/>
      <c r="C70" s="4" t="s">
        <v>142</v>
      </c>
      <c r="D70" s="97" t="s">
        <v>240</v>
      </c>
      <c r="E70" s="98"/>
      <c r="F70" s="4" t="s">
        <v>295</v>
      </c>
      <c r="G70" s="17">
        <v>2</v>
      </c>
      <c r="H70" s="29" t="s">
        <v>324</v>
      </c>
    </row>
    <row r="71" spans="1:8" ht="12.75">
      <c r="A71" s="4" t="s">
        <v>49</v>
      </c>
      <c r="B71" s="4"/>
      <c r="C71" s="4" t="s">
        <v>143</v>
      </c>
      <c r="D71" s="97" t="s">
        <v>241</v>
      </c>
      <c r="E71" s="98"/>
      <c r="F71" s="4" t="s">
        <v>295</v>
      </c>
      <c r="G71" s="17">
        <v>2</v>
      </c>
      <c r="H71" s="29" t="s">
        <v>324</v>
      </c>
    </row>
    <row r="72" spans="1:8" ht="12.75">
      <c r="A72" s="4" t="s">
        <v>50</v>
      </c>
      <c r="B72" s="4"/>
      <c r="C72" s="4" t="s">
        <v>144</v>
      </c>
      <c r="D72" s="97" t="s">
        <v>242</v>
      </c>
      <c r="E72" s="98"/>
      <c r="F72" s="4" t="s">
        <v>295</v>
      </c>
      <c r="G72" s="17">
        <v>330</v>
      </c>
      <c r="H72" s="29" t="s">
        <v>324</v>
      </c>
    </row>
    <row r="73" spans="1:8" ht="12.75">
      <c r="A73" s="4" t="s">
        <v>51</v>
      </c>
      <c r="B73" s="4"/>
      <c r="C73" s="4" t="s">
        <v>145</v>
      </c>
      <c r="D73" s="97" t="s">
        <v>243</v>
      </c>
      <c r="E73" s="98"/>
      <c r="F73" s="4" t="s">
        <v>295</v>
      </c>
      <c r="G73" s="17">
        <v>2</v>
      </c>
      <c r="H73" s="29" t="s">
        <v>324</v>
      </c>
    </row>
    <row r="74" spans="1:8" ht="12.75">
      <c r="A74" s="4" t="s">
        <v>52</v>
      </c>
      <c r="B74" s="4"/>
      <c r="C74" s="4" t="s">
        <v>146</v>
      </c>
      <c r="D74" s="97" t="s">
        <v>244</v>
      </c>
      <c r="E74" s="98"/>
      <c r="F74" s="4" t="s">
        <v>295</v>
      </c>
      <c r="G74" s="17">
        <v>36</v>
      </c>
      <c r="H74" s="29" t="s">
        <v>324</v>
      </c>
    </row>
    <row r="75" spans="1:8" ht="12.75">
      <c r="A75" s="4" t="s">
        <v>53</v>
      </c>
      <c r="B75" s="4"/>
      <c r="C75" s="4" t="s">
        <v>148</v>
      </c>
      <c r="D75" s="97" t="s">
        <v>246</v>
      </c>
      <c r="E75" s="98"/>
      <c r="F75" s="4" t="s">
        <v>295</v>
      </c>
      <c r="G75" s="17">
        <v>1</v>
      </c>
      <c r="H75" s="29" t="s">
        <v>324</v>
      </c>
    </row>
    <row r="76" spans="1:8" ht="12.75">
      <c r="A76" s="4" t="s">
        <v>54</v>
      </c>
      <c r="B76" s="4"/>
      <c r="C76" s="4" t="s">
        <v>149</v>
      </c>
      <c r="D76" s="97" t="s">
        <v>247</v>
      </c>
      <c r="E76" s="98"/>
      <c r="F76" s="4" t="s">
        <v>295</v>
      </c>
      <c r="G76" s="17">
        <v>4</v>
      </c>
      <c r="H76" s="29" t="s">
        <v>324</v>
      </c>
    </row>
    <row r="77" spans="1:8" ht="12.75">
      <c r="A77" s="4" t="s">
        <v>55</v>
      </c>
      <c r="B77" s="4"/>
      <c r="C77" s="4" t="s">
        <v>150</v>
      </c>
      <c r="D77" s="97" t="s">
        <v>248</v>
      </c>
      <c r="E77" s="98"/>
      <c r="F77" s="4" t="s">
        <v>295</v>
      </c>
      <c r="G77" s="17">
        <v>2</v>
      </c>
      <c r="H77" s="29" t="s">
        <v>324</v>
      </c>
    </row>
    <row r="78" spans="1:8" ht="12.75">
      <c r="A78" s="4" t="s">
        <v>56</v>
      </c>
      <c r="B78" s="4"/>
      <c r="C78" s="4" t="s">
        <v>151</v>
      </c>
      <c r="D78" s="97" t="s">
        <v>249</v>
      </c>
      <c r="E78" s="98"/>
      <c r="F78" s="4" t="s">
        <v>295</v>
      </c>
      <c r="G78" s="17">
        <v>3</v>
      </c>
      <c r="H78" s="29" t="s">
        <v>324</v>
      </c>
    </row>
    <row r="79" spans="1:8" ht="12.75">
      <c r="A79" s="4" t="s">
        <v>57</v>
      </c>
      <c r="B79" s="4"/>
      <c r="C79" s="4" t="s">
        <v>152</v>
      </c>
      <c r="D79" s="97" t="s">
        <v>250</v>
      </c>
      <c r="E79" s="98"/>
      <c r="F79" s="4" t="s">
        <v>295</v>
      </c>
      <c r="G79" s="17">
        <v>10</v>
      </c>
      <c r="H79" s="29" t="s">
        <v>324</v>
      </c>
    </row>
    <row r="80" spans="1:8" ht="12.75">
      <c r="A80" s="4" t="s">
        <v>58</v>
      </c>
      <c r="B80" s="4"/>
      <c r="C80" s="4" t="s">
        <v>153</v>
      </c>
      <c r="D80" s="97" t="s">
        <v>251</v>
      </c>
      <c r="E80" s="98"/>
      <c r="F80" s="4" t="s">
        <v>295</v>
      </c>
      <c r="G80" s="17">
        <v>5</v>
      </c>
      <c r="H80" s="29" t="s">
        <v>324</v>
      </c>
    </row>
    <row r="81" spans="1:8" ht="12.75">
      <c r="A81" s="4" t="s">
        <v>59</v>
      </c>
      <c r="B81" s="4"/>
      <c r="C81" s="4" t="s">
        <v>154</v>
      </c>
      <c r="D81" s="97" t="s">
        <v>252</v>
      </c>
      <c r="E81" s="98"/>
      <c r="F81" s="4" t="s">
        <v>295</v>
      </c>
      <c r="G81" s="17">
        <v>20</v>
      </c>
      <c r="H81" s="29" t="s">
        <v>324</v>
      </c>
    </row>
    <row r="82" spans="1:8" ht="12.75">
      <c r="A82" s="4" t="s">
        <v>60</v>
      </c>
      <c r="B82" s="4"/>
      <c r="C82" s="4" t="s">
        <v>155</v>
      </c>
      <c r="D82" s="97" t="s">
        <v>253</v>
      </c>
      <c r="E82" s="98"/>
      <c r="F82" s="4" t="s">
        <v>295</v>
      </c>
      <c r="G82" s="17">
        <v>40</v>
      </c>
      <c r="H82" s="29" t="s">
        <v>324</v>
      </c>
    </row>
    <row r="83" spans="1:8" ht="12.75">
      <c r="A83" s="4" t="s">
        <v>61</v>
      </c>
      <c r="B83" s="4"/>
      <c r="C83" s="4" t="s">
        <v>156</v>
      </c>
      <c r="D83" s="97" t="s">
        <v>254</v>
      </c>
      <c r="E83" s="98"/>
      <c r="F83" s="4" t="s">
        <v>295</v>
      </c>
      <c r="G83" s="17">
        <v>14</v>
      </c>
      <c r="H83" s="29" t="s">
        <v>324</v>
      </c>
    </row>
    <row r="84" spans="1:8" ht="12.75">
      <c r="A84" s="4" t="s">
        <v>62</v>
      </c>
      <c r="B84" s="4"/>
      <c r="C84" s="4" t="s">
        <v>157</v>
      </c>
      <c r="D84" s="97" t="s">
        <v>255</v>
      </c>
      <c r="E84" s="98"/>
      <c r="F84" s="4" t="s">
        <v>295</v>
      </c>
      <c r="G84" s="17">
        <v>7</v>
      </c>
      <c r="H84" s="29" t="s">
        <v>324</v>
      </c>
    </row>
    <row r="85" spans="1:8" ht="12.75">
      <c r="A85" s="4" t="s">
        <v>63</v>
      </c>
      <c r="B85" s="4"/>
      <c r="C85" s="4" t="s">
        <v>158</v>
      </c>
      <c r="D85" s="97" t="s">
        <v>256</v>
      </c>
      <c r="E85" s="98"/>
      <c r="F85" s="4" t="s">
        <v>295</v>
      </c>
      <c r="G85" s="17">
        <v>5</v>
      </c>
      <c r="H85" s="29" t="s">
        <v>324</v>
      </c>
    </row>
    <row r="86" spans="1:8" ht="12.75">
      <c r="A86" s="4" t="s">
        <v>64</v>
      </c>
      <c r="B86" s="4"/>
      <c r="C86" s="4" t="s">
        <v>159</v>
      </c>
      <c r="D86" s="97" t="s">
        <v>257</v>
      </c>
      <c r="E86" s="98"/>
      <c r="F86" s="4" t="s">
        <v>295</v>
      </c>
      <c r="G86" s="17">
        <v>1</v>
      </c>
      <c r="H86" s="29" t="s">
        <v>324</v>
      </c>
    </row>
    <row r="87" spans="1:8" ht="12.75">
      <c r="A87" s="4" t="s">
        <v>65</v>
      </c>
      <c r="B87" s="4"/>
      <c r="C87" s="4" t="s">
        <v>160</v>
      </c>
      <c r="D87" s="97" t="s">
        <v>258</v>
      </c>
      <c r="E87" s="98"/>
      <c r="F87" s="4" t="s">
        <v>295</v>
      </c>
      <c r="G87" s="17">
        <v>7</v>
      </c>
      <c r="H87" s="29" t="s">
        <v>324</v>
      </c>
    </row>
    <row r="88" spans="1:8" ht="12.75">
      <c r="A88" s="4" t="s">
        <v>66</v>
      </c>
      <c r="B88" s="4"/>
      <c r="C88" s="4" t="s">
        <v>161</v>
      </c>
      <c r="D88" s="97" t="s">
        <v>259</v>
      </c>
      <c r="E88" s="98"/>
      <c r="F88" s="4" t="s">
        <v>295</v>
      </c>
      <c r="G88" s="17">
        <v>2</v>
      </c>
      <c r="H88" s="29" t="s">
        <v>324</v>
      </c>
    </row>
    <row r="89" spans="1:8" ht="12.75">
      <c r="A89" s="4" t="s">
        <v>67</v>
      </c>
      <c r="B89" s="4"/>
      <c r="C89" s="4" t="s">
        <v>162</v>
      </c>
      <c r="D89" s="97" t="s">
        <v>260</v>
      </c>
      <c r="E89" s="98"/>
      <c r="F89" s="4" t="s">
        <v>295</v>
      </c>
      <c r="G89" s="17">
        <v>1</v>
      </c>
      <c r="H89" s="29" t="s">
        <v>324</v>
      </c>
    </row>
    <row r="90" spans="1:8" ht="12.75">
      <c r="A90" s="4" t="s">
        <v>68</v>
      </c>
      <c r="B90" s="4"/>
      <c r="C90" s="4" t="s">
        <v>163</v>
      </c>
      <c r="D90" s="97" t="s">
        <v>261</v>
      </c>
      <c r="E90" s="98"/>
      <c r="F90" s="4" t="s">
        <v>295</v>
      </c>
      <c r="G90" s="17">
        <v>2</v>
      </c>
      <c r="H90" s="29" t="s">
        <v>324</v>
      </c>
    </row>
    <row r="91" spans="1:8" ht="12.75">
      <c r="A91" s="4" t="s">
        <v>69</v>
      </c>
      <c r="B91" s="4"/>
      <c r="C91" s="4" t="s">
        <v>164</v>
      </c>
      <c r="D91" s="97" t="s">
        <v>262</v>
      </c>
      <c r="E91" s="98"/>
      <c r="F91" s="4" t="s">
        <v>295</v>
      </c>
      <c r="G91" s="17">
        <v>4</v>
      </c>
      <c r="H91" s="29" t="s">
        <v>324</v>
      </c>
    </row>
    <row r="92" spans="1:8" ht="12.75">
      <c r="A92" s="4" t="s">
        <v>70</v>
      </c>
      <c r="B92" s="4"/>
      <c r="C92" s="4" t="s">
        <v>165</v>
      </c>
      <c r="D92" s="97" t="s">
        <v>263</v>
      </c>
      <c r="E92" s="98"/>
      <c r="F92" s="4" t="s">
        <v>295</v>
      </c>
      <c r="G92" s="17">
        <v>6</v>
      </c>
      <c r="H92" s="29" t="s">
        <v>324</v>
      </c>
    </row>
    <row r="93" spans="1:8" ht="12.75">
      <c r="A93" s="4" t="s">
        <v>71</v>
      </c>
      <c r="B93" s="4"/>
      <c r="C93" s="4" t="s">
        <v>166</v>
      </c>
      <c r="D93" s="97" t="s">
        <v>264</v>
      </c>
      <c r="E93" s="98"/>
      <c r="F93" s="4" t="s">
        <v>295</v>
      </c>
      <c r="G93" s="17">
        <v>4</v>
      </c>
      <c r="H93" s="29" t="s">
        <v>324</v>
      </c>
    </row>
    <row r="94" spans="1:8" ht="12.75">
      <c r="A94" s="4" t="s">
        <v>72</v>
      </c>
      <c r="B94" s="4"/>
      <c r="C94" s="4" t="s">
        <v>167</v>
      </c>
      <c r="D94" s="97" t="s">
        <v>265</v>
      </c>
      <c r="E94" s="98"/>
      <c r="F94" s="4" t="s">
        <v>295</v>
      </c>
      <c r="G94" s="17">
        <v>1</v>
      </c>
      <c r="H94" s="29" t="s">
        <v>324</v>
      </c>
    </row>
    <row r="95" spans="1:8" ht="12.75">
      <c r="A95" s="4" t="s">
        <v>73</v>
      </c>
      <c r="B95" s="4"/>
      <c r="C95" s="4" t="s">
        <v>168</v>
      </c>
      <c r="D95" s="97" t="s">
        <v>266</v>
      </c>
      <c r="E95" s="98"/>
      <c r="F95" s="4" t="s">
        <v>295</v>
      </c>
      <c r="G95" s="17">
        <v>1</v>
      </c>
      <c r="H95" s="29" t="s">
        <v>324</v>
      </c>
    </row>
    <row r="96" spans="1:8" ht="12.75">
      <c r="A96" s="4" t="s">
        <v>74</v>
      </c>
      <c r="B96" s="4"/>
      <c r="C96" s="4" t="s">
        <v>169</v>
      </c>
      <c r="D96" s="97" t="s">
        <v>267</v>
      </c>
      <c r="E96" s="98"/>
      <c r="F96" s="4" t="s">
        <v>295</v>
      </c>
      <c r="G96" s="17">
        <v>1</v>
      </c>
      <c r="H96" s="29" t="s">
        <v>324</v>
      </c>
    </row>
    <row r="97" spans="1:8" ht="12.75">
      <c r="A97" s="4" t="s">
        <v>75</v>
      </c>
      <c r="B97" s="4"/>
      <c r="C97" s="4" t="s">
        <v>170</v>
      </c>
      <c r="D97" s="97" t="s">
        <v>268</v>
      </c>
      <c r="E97" s="98"/>
      <c r="F97" s="4" t="s">
        <v>295</v>
      </c>
      <c r="G97" s="17">
        <v>15</v>
      </c>
      <c r="H97" s="29" t="s">
        <v>324</v>
      </c>
    </row>
    <row r="98" spans="1:8" ht="12.75">
      <c r="A98" s="4" t="s">
        <v>76</v>
      </c>
      <c r="B98" s="4"/>
      <c r="C98" s="4" t="s">
        <v>171</v>
      </c>
      <c r="D98" s="97" t="s">
        <v>269</v>
      </c>
      <c r="E98" s="98"/>
      <c r="F98" s="4" t="s">
        <v>295</v>
      </c>
      <c r="G98" s="17">
        <v>1</v>
      </c>
      <c r="H98" s="29" t="s">
        <v>324</v>
      </c>
    </row>
    <row r="99" spans="1:8" ht="12.75">
      <c r="A99" s="4" t="s">
        <v>77</v>
      </c>
      <c r="B99" s="4"/>
      <c r="C99" s="4" t="s">
        <v>172</v>
      </c>
      <c r="D99" s="97" t="s">
        <v>270</v>
      </c>
      <c r="E99" s="98"/>
      <c r="F99" s="4" t="s">
        <v>295</v>
      </c>
      <c r="G99" s="17">
        <v>1</v>
      </c>
      <c r="H99" s="29" t="s">
        <v>324</v>
      </c>
    </row>
    <row r="100" spans="1:8" ht="12.75">
      <c r="A100" s="4" t="s">
        <v>78</v>
      </c>
      <c r="B100" s="4"/>
      <c r="C100" s="4" t="s">
        <v>173</v>
      </c>
      <c r="D100" s="97" t="s">
        <v>271</v>
      </c>
      <c r="E100" s="98"/>
      <c r="F100" s="4" t="s">
        <v>295</v>
      </c>
      <c r="G100" s="17">
        <v>1</v>
      </c>
      <c r="H100" s="29" t="s">
        <v>324</v>
      </c>
    </row>
    <row r="101" spans="1:8" ht="12.75">
      <c r="A101" s="4" t="s">
        <v>79</v>
      </c>
      <c r="B101" s="4"/>
      <c r="C101" s="4" t="s">
        <v>174</v>
      </c>
      <c r="D101" s="97" t="s">
        <v>272</v>
      </c>
      <c r="E101" s="98"/>
      <c r="F101" s="4" t="s">
        <v>295</v>
      </c>
      <c r="G101" s="17">
        <v>1</v>
      </c>
      <c r="H101" s="29" t="s">
        <v>324</v>
      </c>
    </row>
    <row r="102" spans="1:8" ht="12.75">
      <c r="A102" s="4" t="s">
        <v>80</v>
      </c>
      <c r="B102" s="4"/>
      <c r="C102" s="4" t="s">
        <v>175</v>
      </c>
      <c r="D102" s="97" t="s">
        <v>273</v>
      </c>
      <c r="E102" s="98"/>
      <c r="F102" s="4" t="s">
        <v>295</v>
      </c>
      <c r="G102" s="17">
        <v>2</v>
      </c>
      <c r="H102" s="29" t="s">
        <v>324</v>
      </c>
    </row>
    <row r="103" spans="1:8" ht="12.75">
      <c r="A103" s="4" t="s">
        <v>81</v>
      </c>
      <c r="B103" s="4"/>
      <c r="C103" s="4" t="s">
        <v>176</v>
      </c>
      <c r="D103" s="97" t="s">
        <v>274</v>
      </c>
      <c r="E103" s="98"/>
      <c r="F103" s="4" t="s">
        <v>295</v>
      </c>
      <c r="G103" s="17">
        <v>2</v>
      </c>
      <c r="H103" s="29" t="s">
        <v>324</v>
      </c>
    </row>
    <row r="104" spans="1:8" ht="12.75">
      <c r="A104" s="4" t="s">
        <v>82</v>
      </c>
      <c r="B104" s="4"/>
      <c r="C104" s="4" t="s">
        <v>177</v>
      </c>
      <c r="D104" s="97" t="s">
        <v>275</v>
      </c>
      <c r="E104" s="98"/>
      <c r="F104" s="4" t="s">
        <v>295</v>
      </c>
      <c r="G104" s="17">
        <v>1</v>
      </c>
      <c r="H104" s="29" t="s">
        <v>324</v>
      </c>
    </row>
    <row r="105" spans="1:8" ht="12.75">
      <c r="A105" s="4" t="s">
        <v>83</v>
      </c>
      <c r="B105" s="4"/>
      <c r="C105" s="4" t="s">
        <v>178</v>
      </c>
      <c r="D105" s="97" t="s">
        <v>276</v>
      </c>
      <c r="E105" s="98"/>
      <c r="F105" s="4" t="s">
        <v>295</v>
      </c>
      <c r="G105" s="17">
        <v>156</v>
      </c>
      <c r="H105" s="29" t="s">
        <v>324</v>
      </c>
    </row>
    <row r="106" spans="1:7" ht="12.75">
      <c r="A106" s="4"/>
      <c r="B106" s="4"/>
      <c r="C106" s="4"/>
      <c r="D106" s="97" t="s">
        <v>364</v>
      </c>
      <c r="E106" s="98"/>
      <c r="F106" s="4"/>
      <c r="G106" s="17">
        <v>156</v>
      </c>
    </row>
    <row r="107" spans="1:8" ht="12.75">
      <c r="A107" s="4" t="s">
        <v>84</v>
      </c>
      <c r="B107" s="4"/>
      <c r="C107" s="4" t="s">
        <v>179</v>
      </c>
      <c r="D107" s="97" t="s">
        <v>277</v>
      </c>
      <c r="E107" s="98"/>
      <c r="F107" s="4" t="s">
        <v>295</v>
      </c>
      <c r="G107" s="17">
        <v>8</v>
      </c>
      <c r="H107" s="29" t="s">
        <v>324</v>
      </c>
    </row>
    <row r="108" spans="1:7" ht="12.75">
      <c r="A108" s="4"/>
      <c r="B108" s="4"/>
      <c r="C108" s="4"/>
      <c r="D108" s="97" t="s">
        <v>365</v>
      </c>
      <c r="E108" s="98"/>
      <c r="F108" s="4"/>
      <c r="G108" s="17">
        <v>8</v>
      </c>
    </row>
    <row r="109" spans="1:8" ht="12.75">
      <c r="A109" s="4" t="s">
        <v>85</v>
      </c>
      <c r="B109" s="4"/>
      <c r="C109" s="4" t="s">
        <v>180</v>
      </c>
      <c r="D109" s="97" t="s">
        <v>278</v>
      </c>
      <c r="E109" s="98"/>
      <c r="F109" s="4" t="s">
        <v>295</v>
      </c>
      <c r="G109" s="17">
        <v>1</v>
      </c>
      <c r="H109" s="29" t="s">
        <v>324</v>
      </c>
    </row>
    <row r="110" spans="1:8" ht="12.75">
      <c r="A110" s="4" t="s">
        <v>86</v>
      </c>
      <c r="B110" s="4"/>
      <c r="C110" s="4" t="s">
        <v>181</v>
      </c>
      <c r="D110" s="97" t="s">
        <v>279</v>
      </c>
      <c r="E110" s="98"/>
      <c r="F110" s="4" t="s">
        <v>298</v>
      </c>
      <c r="G110" s="17">
        <v>500</v>
      </c>
      <c r="H110" s="29" t="s">
        <v>324</v>
      </c>
    </row>
    <row r="111" spans="1:7" ht="12.75">
      <c r="A111" s="4"/>
      <c r="B111" s="4"/>
      <c r="C111" s="4"/>
      <c r="D111" s="97" t="s">
        <v>366</v>
      </c>
      <c r="E111" s="98"/>
      <c r="F111" s="4"/>
      <c r="G111" s="17">
        <v>500</v>
      </c>
    </row>
    <row r="112" spans="1:8" ht="12.75">
      <c r="A112" s="4" t="s">
        <v>87</v>
      </c>
      <c r="B112" s="4"/>
      <c r="C112" s="4" t="s">
        <v>182</v>
      </c>
      <c r="D112" s="97" t="s">
        <v>280</v>
      </c>
      <c r="E112" s="98"/>
      <c r="F112" s="4" t="s">
        <v>296</v>
      </c>
      <c r="G112" s="17">
        <v>5.285</v>
      </c>
      <c r="H112" s="29" t="s">
        <v>324</v>
      </c>
    </row>
    <row r="113" spans="1:8" ht="12.75">
      <c r="A113" s="4" t="s">
        <v>88</v>
      </c>
      <c r="B113" s="4"/>
      <c r="C113" s="4" t="s">
        <v>183</v>
      </c>
      <c r="D113" s="97" t="s">
        <v>281</v>
      </c>
      <c r="E113" s="98"/>
      <c r="F113" s="4" t="s">
        <v>298</v>
      </c>
      <c r="G113" s="17">
        <v>500</v>
      </c>
      <c r="H113" s="29" t="s">
        <v>324</v>
      </c>
    </row>
    <row r="114" spans="1:7" ht="12.75">
      <c r="A114" s="4"/>
      <c r="B114" s="4"/>
      <c r="C114" s="4"/>
      <c r="D114" s="97" t="s">
        <v>367</v>
      </c>
      <c r="E114" s="98"/>
      <c r="F114" s="4"/>
      <c r="G114" s="17">
        <v>500</v>
      </c>
    </row>
    <row r="115" spans="1:8" ht="12.75">
      <c r="A115" s="4" t="s">
        <v>89</v>
      </c>
      <c r="B115" s="4"/>
      <c r="C115" s="4" t="s">
        <v>185</v>
      </c>
      <c r="D115" s="97" t="s">
        <v>283</v>
      </c>
      <c r="E115" s="98"/>
      <c r="F115" s="4" t="s">
        <v>299</v>
      </c>
      <c r="G115" s="17">
        <v>144</v>
      </c>
      <c r="H115" s="29" t="s">
        <v>324</v>
      </c>
    </row>
    <row r="116" spans="1:8" ht="12.75">
      <c r="A116" s="4" t="s">
        <v>90</v>
      </c>
      <c r="B116" s="4"/>
      <c r="C116" s="4" t="s">
        <v>186</v>
      </c>
      <c r="D116" s="97" t="s">
        <v>284</v>
      </c>
      <c r="E116" s="98"/>
      <c r="F116" s="4" t="s">
        <v>299</v>
      </c>
      <c r="G116" s="17">
        <v>100</v>
      </c>
      <c r="H116" s="29" t="s">
        <v>324</v>
      </c>
    </row>
    <row r="117" spans="1:7" ht="12.75">
      <c r="A117" s="4"/>
      <c r="B117" s="4"/>
      <c r="C117" s="4"/>
      <c r="D117" s="97" t="s">
        <v>368</v>
      </c>
      <c r="E117" s="98"/>
      <c r="F117" s="4"/>
      <c r="G117" s="17">
        <v>100</v>
      </c>
    </row>
    <row r="118" spans="1:8" ht="12.75">
      <c r="A118" s="4" t="s">
        <v>91</v>
      </c>
      <c r="B118" s="4"/>
      <c r="C118" s="4" t="s">
        <v>188</v>
      </c>
      <c r="D118" s="97" t="s">
        <v>285</v>
      </c>
      <c r="E118" s="98"/>
      <c r="F118" s="4" t="s">
        <v>300</v>
      </c>
      <c r="G118" s="17">
        <v>747.9876</v>
      </c>
      <c r="H118" s="29" t="s">
        <v>324</v>
      </c>
    </row>
    <row r="119" spans="1:7" ht="12.75">
      <c r="A119" s="4"/>
      <c r="B119" s="4"/>
      <c r="C119" s="4"/>
      <c r="D119" s="97" t="s">
        <v>369</v>
      </c>
      <c r="E119" s="98"/>
      <c r="F119" s="4"/>
      <c r="G119" s="17">
        <v>747.9876</v>
      </c>
    </row>
    <row r="120" spans="1:8" ht="12.75">
      <c r="A120" s="4" t="s">
        <v>92</v>
      </c>
      <c r="B120" s="4"/>
      <c r="C120" s="4" t="s">
        <v>190</v>
      </c>
      <c r="D120" s="97" t="s">
        <v>286</v>
      </c>
      <c r="E120" s="98"/>
      <c r="F120" s="4" t="s">
        <v>300</v>
      </c>
      <c r="G120" s="17">
        <v>9802.0637</v>
      </c>
      <c r="H120" s="29" t="s">
        <v>324</v>
      </c>
    </row>
    <row r="121" spans="1:7" ht="12.75">
      <c r="A121" s="4"/>
      <c r="B121" s="4"/>
      <c r="C121" s="4"/>
      <c r="D121" s="97" t="s">
        <v>370</v>
      </c>
      <c r="E121" s="98"/>
      <c r="F121" s="4"/>
      <c r="G121" s="17">
        <v>9802.0637</v>
      </c>
    </row>
    <row r="122" spans="1:8" ht="12.75">
      <c r="A122" s="4" t="s">
        <v>93</v>
      </c>
      <c r="B122" s="4"/>
      <c r="C122" s="4" t="s">
        <v>192</v>
      </c>
      <c r="D122" s="97" t="s">
        <v>287</v>
      </c>
      <c r="E122" s="98"/>
      <c r="F122" s="4" t="s">
        <v>300</v>
      </c>
      <c r="G122" s="17">
        <v>4662.2294</v>
      </c>
      <c r="H122" s="29" t="s">
        <v>324</v>
      </c>
    </row>
    <row r="123" spans="1:7" ht="12.75">
      <c r="A123" s="4"/>
      <c r="B123" s="4"/>
      <c r="C123" s="4"/>
      <c r="D123" s="97" t="s">
        <v>371</v>
      </c>
      <c r="E123" s="98"/>
      <c r="F123" s="4"/>
      <c r="G123" s="17">
        <v>4662.2294</v>
      </c>
    </row>
    <row r="124" spans="1:8" ht="12.75">
      <c r="A124" s="4" t="s">
        <v>94</v>
      </c>
      <c r="B124" s="4"/>
      <c r="C124" s="4" t="s">
        <v>194</v>
      </c>
      <c r="D124" s="97" t="s">
        <v>288</v>
      </c>
      <c r="E124" s="98"/>
      <c r="F124" s="4" t="s">
        <v>300</v>
      </c>
      <c r="G124" s="17">
        <v>4746.6335</v>
      </c>
      <c r="H124" s="29" t="s">
        <v>324</v>
      </c>
    </row>
    <row r="125" spans="1:7" ht="12.75">
      <c r="A125" s="4"/>
      <c r="B125" s="4"/>
      <c r="C125" s="4"/>
      <c r="D125" s="97" t="s">
        <v>372</v>
      </c>
      <c r="E125" s="98"/>
      <c r="F125" s="4"/>
      <c r="G125" s="17">
        <v>4746.6335</v>
      </c>
    </row>
    <row r="127" ht="11.25" customHeight="1">
      <c r="A127" s="9" t="s">
        <v>95</v>
      </c>
    </row>
    <row r="128" spans="1:7" ht="12.75">
      <c r="A128" s="83"/>
      <c r="B128" s="75"/>
      <c r="C128" s="75"/>
      <c r="D128" s="75"/>
      <c r="E128" s="75"/>
      <c r="F128" s="75"/>
      <c r="G128" s="75"/>
    </row>
  </sheetData>
  <sheetProtection/>
  <mergeCells count="134">
    <mergeCell ref="D124:E124"/>
    <mergeCell ref="D125:E125"/>
    <mergeCell ref="A128:G128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9"/>
      <c r="B1" s="52"/>
      <c r="C1" s="101" t="s">
        <v>389</v>
      </c>
      <c r="D1" s="71"/>
      <c r="E1" s="71"/>
      <c r="F1" s="71"/>
      <c r="G1" s="71"/>
      <c r="H1" s="71"/>
      <c r="I1" s="71"/>
    </row>
    <row r="2" spans="1:10" ht="12.75">
      <c r="A2" s="72" t="s">
        <v>1</v>
      </c>
      <c r="B2" s="73"/>
      <c r="C2" s="76" t="str">
        <f>'Stavební rozpočet'!D2</f>
        <v>Rekonstrukce vytápění</v>
      </c>
      <c r="D2" s="92"/>
      <c r="E2" s="79" t="s">
        <v>311</v>
      </c>
      <c r="F2" s="79" t="str">
        <f>'Stavební rozpočet'!J2</f>
        <v>Statutární město Chomutov</v>
      </c>
      <c r="G2" s="73"/>
      <c r="H2" s="79" t="s">
        <v>414</v>
      </c>
      <c r="I2" s="102" t="s">
        <v>418</v>
      </c>
      <c r="J2" s="32"/>
    </row>
    <row r="3" spans="1:10" ht="12.75">
      <c r="A3" s="74"/>
      <c r="B3" s="75"/>
      <c r="C3" s="77"/>
      <c r="D3" s="77"/>
      <c r="E3" s="75"/>
      <c r="F3" s="75"/>
      <c r="G3" s="75"/>
      <c r="H3" s="75"/>
      <c r="I3" s="81"/>
      <c r="J3" s="32"/>
    </row>
    <row r="4" spans="1:10" ht="12.75">
      <c r="A4" s="82" t="s">
        <v>2</v>
      </c>
      <c r="B4" s="75"/>
      <c r="C4" s="83" t="str">
        <f>'Stavební rozpočet'!D4</f>
        <v>Středisko volného času Domeček</v>
      </c>
      <c r="D4" s="75"/>
      <c r="E4" s="83" t="s">
        <v>312</v>
      </c>
      <c r="F4" s="83" t="str">
        <f>'Stavební rozpočet'!J4</f>
        <v>INTER ART PROJEKT s.r.o.</v>
      </c>
      <c r="G4" s="75"/>
      <c r="H4" s="83" t="s">
        <v>414</v>
      </c>
      <c r="I4" s="103" t="s">
        <v>419</v>
      </c>
      <c r="J4" s="32"/>
    </row>
    <row r="5" spans="1:10" ht="12.75">
      <c r="A5" s="74"/>
      <c r="B5" s="75"/>
      <c r="C5" s="75"/>
      <c r="D5" s="75"/>
      <c r="E5" s="75"/>
      <c r="F5" s="75"/>
      <c r="G5" s="75"/>
      <c r="H5" s="75"/>
      <c r="I5" s="81"/>
      <c r="J5" s="32"/>
    </row>
    <row r="6" spans="1:10" ht="12.75">
      <c r="A6" s="82" t="s">
        <v>3</v>
      </c>
      <c r="B6" s="75"/>
      <c r="C6" s="83" t="str">
        <f>'Stavební rozpočet'!D6</f>
        <v>Chomutov</v>
      </c>
      <c r="D6" s="75"/>
      <c r="E6" s="83" t="s">
        <v>313</v>
      </c>
      <c r="F6" s="83" t="str">
        <f>'Stavební rozpočet'!J6</f>
        <v>výběrové řízení</v>
      </c>
      <c r="G6" s="75"/>
      <c r="H6" s="83" t="s">
        <v>414</v>
      </c>
      <c r="I6" s="103"/>
      <c r="J6" s="32"/>
    </row>
    <row r="7" spans="1:10" ht="12.75">
      <c r="A7" s="74"/>
      <c r="B7" s="75"/>
      <c r="C7" s="75"/>
      <c r="D7" s="75"/>
      <c r="E7" s="75"/>
      <c r="F7" s="75"/>
      <c r="G7" s="75"/>
      <c r="H7" s="75"/>
      <c r="I7" s="81"/>
      <c r="J7" s="32"/>
    </row>
    <row r="8" spans="1:10" ht="12.75">
      <c r="A8" s="82" t="s">
        <v>290</v>
      </c>
      <c r="B8" s="75"/>
      <c r="C8" s="83" t="str">
        <f>'Stavební rozpočet'!G4</f>
        <v>01.07.2018</v>
      </c>
      <c r="D8" s="75"/>
      <c r="E8" s="83" t="s">
        <v>291</v>
      </c>
      <c r="F8" s="83" t="str">
        <f>'Stavební rozpočet'!G6</f>
        <v>31.08.2018</v>
      </c>
      <c r="G8" s="75"/>
      <c r="H8" s="84" t="s">
        <v>415</v>
      </c>
      <c r="I8" s="103" t="s">
        <v>94</v>
      </c>
      <c r="J8" s="32"/>
    </row>
    <row r="9" spans="1:10" ht="12.75">
      <c r="A9" s="74"/>
      <c r="B9" s="75"/>
      <c r="C9" s="75"/>
      <c r="D9" s="75"/>
      <c r="E9" s="75"/>
      <c r="F9" s="75"/>
      <c r="G9" s="75"/>
      <c r="H9" s="75"/>
      <c r="I9" s="81"/>
      <c r="J9" s="32"/>
    </row>
    <row r="10" spans="1:10" ht="12.75">
      <c r="A10" s="82" t="s">
        <v>4</v>
      </c>
      <c r="B10" s="75"/>
      <c r="C10" s="83" t="str">
        <f>'Stavební rozpočet'!D8</f>
        <v> </v>
      </c>
      <c r="D10" s="75"/>
      <c r="E10" s="83" t="s">
        <v>314</v>
      </c>
      <c r="F10" s="83" t="str">
        <f>'Stavební rozpočet'!J8</f>
        <v>Šefl</v>
      </c>
      <c r="G10" s="75"/>
      <c r="H10" s="84" t="s">
        <v>416</v>
      </c>
      <c r="I10" s="106" t="str">
        <f>'Stavební rozpočet'!G8</f>
        <v>10.06.2018</v>
      </c>
      <c r="J10" s="32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32"/>
    </row>
    <row r="12" spans="1:9" ht="23.25" customHeight="1">
      <c r="A12" s="108" t="s">
        <v>374</v>
      </c>
      <c r="B12" s="109"/>
      <c r="C12" s="109"/>
      <c r="D12" s="109"/>
      <c r="E12" s="109"/>
      <c r="F12" s="109"/>
      <c r="G12" s="109"/>
      <c r="H12" s="109"/>
      <c r="I12" s="109"/>
    </row>
    <row r="13" spans="1:10" ht="26.25" customHeight="1">
      <c r="A13" s="53" t="s">
        <v>375</v>
      </c>
      <c r="B13" s="110" t="s">
        <v>387</v>
      </c>
      <c r="C13" s="111"/>
      <c r="D13" s="53" t="s">
        <v>390</v>
      </c>
      <c r="E13" s="110" t="s">
        <v>399</v>
      </c>
      <c r="F13" s="111"/>
      <c r="G13" s="53" t="s">
        <v>400</v>
      </c>
      <c r="H13" s="110" t="s">
        <v>417</v>
      </c>
      <c r="I13" s="111"/>
      <c r="J13" s="32"/>
    </row>
    <row r="14" spans="1:10" ht="15" customHeight="1">
      <c r="A14" s="54" t="s">
        <v>376</v>
      </c>
      <c r="B14" s="58" t="s">
        <v>388</v>
      </c>
      <c r="C14" s="62">
        <f>SUM('Stavební rozpočet'!R12:R108)</f>
        <v>0</v>
      </c>
      <c r="D14" s="112" t="s">
        <v>391</v>
      </c>
      <c r="E14" s="113"/>
      <c r="F14" s="62">
        <v>0</v>
      </c>
      <c r="G14" s="112" t="s">
        <v>401</v>
      </c>
      <c r="H14" s="113"/>
      <c r="I14" s="62">
        <v>0</v>
      </c>
      <c r="J14" s="32"/>
    </row>
    <row r="15" spans="1:10" ht="15" customHeight="1">
      <c r="A15" s="55"/>
      <c r="B15" s="58" t="s">
        <v>315</v>
      </c>
      <c r="C15" s="62">
        <f>SUM('Stavební rozpočet'!S12:S108)</f>
        <v>0</v>
      </c>
      <c r="D15" s="112" t="s">
        <v>392</v>
      </c>
      <c r="E15" s="113"/>
      <c r="F15" s="62">
        <v>0</v>
      </c>
      <c r="G15" s="112" t="s">
        <v>402</v>
      </c>
      <c r="H15" s="113"/>
      <c r="I15" s="62">
        <v>0</v>
      </c>
      <c r="J15" s="32"/>
    </row>
    <row r="16" spans="1:10" ht="15" customHeight="1">
      <c r="A16" s="54" t="s">
        <v>377</v>
      </c>
      <c r="B16" s="58" t="s">
        <v>388</v>
      </c>
      <c r="C16" s="62">
        <f>SUM('Stavební rozpočet'!T12:T108)</f>
        <v>0</v>
      </c>
      <c r="D16" s="112" t="s">
        <v>393</v>
      </c>
      <c r="E16" s="113"/>
      <c r="F16" s="62">
        <v>0</v>
      </c>
      <c r="G16" s="112" t="s">
        <v>403</v>
      </c>
      <c r="H16" s="113"/>
      <c r="I16" s="62">
        <v>0</v>
      </c>
      <c r="J16" s="32"/>
    </row>
    <row r="17" spans="1:10" ht="15" customHeight="1">
      <c r="A17" s="55"/>
      <c r="B17" s="58" t="s">
        <v>315</v>
      </c>
      <c r="C17" s="62">
        <f>SUM('Stavební rozpočet'!U12:U108)</f>
        <v>0</v>
      </c>
      <c r="D17" s="112"/>
      <c r="E17" s="113"/>
      <c r="F17" s="63"/>
      <c r="G17" s="112" t="s">
        <v>404</v>
      </c>
      <c r="H17" s="113"/>
      <c r="I17" s="62">
        <v>0</v>
      </c>
      <c r="J17" s="32"/>
    </row>
    <row r="18" spans="1:10" ht="15" customHeight="1">
      <c r="A18" s="54" t="s">
        <v>378</v>
      </c>
      <c r="B18" s="58" t="s">
        <v>388</v>
      </c>
      <c r="C18" s="62">
        <f>SUM('Stavební rozpočet'!V12:V108)</f>
        <v>0</v>
      </c>
      <c r="D18" s="112"/>
      <c r="E18" s="113"/>
      <c r="F18" s="63"/>
      <c r="G18" s="112" t="s">
        <v>405</v>
      </c>
      <c r="H18" s="113"/>
      <c r="I18" s="62">
        <v>0</v>
      </c>
      <c r="J18" s="32"/>
    </row>
    <row r="19" spans="1:10" ht="15" customHeight="1">
      <c r="A19" s="55"/>
      <c r="B19" s="58" t="s">
        <v>315</v>
      </c>
      <c r="C19" s="62">
        <f>SUM('Stavební rozpočet'!W12:W108)</f>
        <v>0</v>
      </c>
      <c r="D19" s="112"/>
      <c r="E19" s="113"/>
      <c r="F19" s="63"/>
      <c r="G19" s="112" t="s">
        <v>406</v>
      </c>
      <c r="H19" s="113"/>
      <c r="I19" s="62">
        <v>0</v>
      </c>
      <c r="J19" s="32"/>
    </row>
    <row r="20" spans="1:10" ht="15" customHeight="1">
      <c r="A20" s="114" t="s">
        <v>379</v>
      </c>
      <c r="B20" s="115"/>
      <c r="C20" s="62">
        <f>SUM('Stavební rozpočet'!X12:X108)</f>
        <v>0</v>
      </c>
      <c r="D20" s="112"/>
      <c r="E20" s="113"/>
      <c r="F20" s="63"/>
      <c r="G20" s="112"/>
      <c r="H20" s="113"/>
      <c r="I20" s="63"/>
      <c r="J20" s="32"/>
    </row>
    <row r="21" spans="1:10" ht="15" customHeight="1">
      <c r="A21" s="114" t="s">
        <v>380</v>
      </c>
      <c r="B21" s="115"/>
      <c r="C21" s="62">
        <f>SUM('Stavební rozpočet'!P12:P108)</f>
        <v>0</v>
      </c>
      <c r="D21" s="112"/>
      <c r="E21" s="113"/>
      <c r="F21" s="63"/>
      <c r="G21" s="112"/>
      <c r="H21" s="113"/>
      <c r="I21" s="63"/>
      <c r="J21" s="32"/>
    </row>
    <row r="22" spans="1:10" ht="16.5" customHeight="1">
      <c r="A22" s="114" t="s">
        <v>381</v>
      </c>
      <c r="B22" s="115"/>
      <c r="C22" s="62">
        <f>SUM(C14:C21)</f>
        <v>0</v>
      </c>
      <c r="D22" s="114" t="s">
        <v>394</v>
      </c>
      <c r="E22" s="115"/>
      <c r="F22" s="62">
        <f>SUM(F14:F21)</f>
        <v>0</v>
      </c>
      <c r="G22" s="114" t="s">
        <v>407</v>
      </c>
      <c r="H22" s="115"/>
      <c r="I22" s="62">
        <f>ROUND(C22*(3/100),2)</f>
        <v>0</v>
      </c>
      <c r="J22" s="32"/>
    </row>
    <row r="23" spans="1:10" ht="15" customHeight="1">
      <c r="A23" s="8"/>
      <c r="B23" s="8"/>
      <c r="C23" s="60"/>
      <c r="D23" s="114" t="s">
        <v>395</v>
      </c>
      <c r="E23" s="115"/>
      <c r="F23" s="64">
        <v>0</v>
      </c>
      <c r="G23" s="114" t="s">
        <v>408</v>
      </c>
      <c r="H23" s="115"/>
      <c r="I23" s="62">
        <v>0</v>
      </c>
      <c r="J23" s="32"/>
    </row>
    <row r="24" spans="4:9" ht="15" customHeight="1">
      <c r="D24" s="8"/>
      <c r="E24" s="8"/>
      <c r="F24" s="65"/>
      <c r="G24" s="114" t="s">
        <v>409</v>
      </c>
      <c r="H24" s="115"/>
      <c r="I24" s="67"/>
    </row>
    <row r="25" spans="6:10" ht="15" customHeight="1">
      <c r="F25" s="66"/>
      <c r="G25" s="114" t="s">
        <v>410</v>
      </c>
      <c r="H25" s="115"/>
      <c r="I25" s="62">
        <v>0</v>
      </c>
      <c r="J25" s="32"/>
    </row>
    <row r="26" spans="1:9" ht="12.75">
      <c r="A26" s="52"/>
      <c r="B26" s="52"/>
      <c r="C26" s="52"/>
      <c r="G26" s="8"/>
      <c r="H26" s="8"/>
      <c r="I26" s="8"/>
    </row>
    <row r="27" spans="1:9" ht="15" customHeight="1">
      <c r="A27" s="116" t="s">
        <v>382</v>
      </c>
      <c r="B27" s="117"/>
      <c r="C27" s="68">
        <f>SUM('Stavební rozpočet'!Z12:Z108)</f>
        <v>0</v>
      </c>
      <c r="D27" s="61"/>
      <c r="E27" s="52"/>
      <c r="F27" s="52"/>
      <c r="G27" s="52"/>
      <c r="H27" s="52"/>
      <c r="I27" s="52"/>
    </row>
    <row r="28" spans="1:10" ht="15" customHeight="1">
      <c r="A28" s="116" t="s">
        <v>383</v>
      </c>
      <c r="B28" s="117"/>
      <c r="C28" s="68">
        <f>SUM('Stavební rozpočet'!AA12:AA108)</f>
        <v>0</v>
      </c>
      <c r="D28" s="116" t="s">
        <v>396</v>
      </c>
      <c r="E28" s="117"/>
      <c r="F28" s="68">
        <f>ROUND(C28*(15/100),2)</f>
        <v>0</v>
      </c>
      <c r="G28" s="116" t="s">
        <v>411</v>
      </c>
      <c r="H28" s="117"/>
      <c r="I28" s="68">
        <f>SUM(C27:C29)</f>
        <v>0</v>
      </c>
      <c r="J28" s="32"/>
    </row>
    <row r="29" spans="1:10" ht="15" customHeight="1">
      <c r="A29" s="116" t="s">
        <v>384</v>
      </c>
      <c r="B29" s="117"/>
      <c r="C29" s="68">
        <f>SUM('Stavební rozpočet'!AB12:AB108)+(F22+I22+F23+I23+I24+I25)</f>
        <v>0</v>
      </c>
      <c r="D29" s="116" t="s">
        <v>397</v>
      </c>
      <c r="E29" s="117"/>
      <c r="F29" s="68">
        <f>ROUND(C29*(21/100),2)</f>
        <v>0</v>
      </c>
      <c r="G29" s="116" t="s">
        <v>412</v>
      </c>
      <c r="H29" s="117"/>
      <c r="I29" s="68">
        <f>SUM(F28:F29)+I28</f>
        <v>0</v>
      </c>
      <c r="J29" s="32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10" ht="14.25" customHeight="1">
      <c r="A31" s="118" t="s">
        <v>385</v>
      </c>
      <c r="B31" s="119"/>
      <c r="C31" s="120"/>
      <c r="D31" s="118" t="s">
        <v>398</v>
      </c>
      <c r="E31" s="119"/>
      <c r="F31" s="120"/>
      <c r="G31" s="118" t="s">
        <v>413</v>
      </c>
      <c r="H31" s="119"/>
      <c r="I31" s="120"/>
      <c r="J31" s="33"/>
    </row>
    <row r="32" spans="1:10" ht="14.25" customHeight="1">
      <c r="A32" s="121"/>
      <c r="B32" s="122"/>
      <c r="C32" s="123"/>
      <c r="D32" s="121"/>
      <c r="E32" s="122"/>
      <c r="F32" s="123"/>
      <c r="G32" s="121"/>
      <c r="H32" s="122"/>
      <c r="I32" s="123"/>
      <c r="J32" s="33"/>
    </row>
    <row r="33" spans="1:10" ht="14.25" customHeight="1">
      <c r="A33" s="121"/>
      <c r="B33" s="122"/>
      <c r="C33" s="123"/>
      <c r="D33" s="121"/>
      <c r="E33" s="122"/>
      <c r="F33" s="123"/>
      <c r="G33" s="121"/>
      <c r="H33" s="122"/>
      <c r="I33" s="123"/>
      <c r="J33" s="33"/>
    </row>
    <row r="34" spans="1:10" ht="14.25" customHeight="1">
      <c r="A34" s="121"/>
      <c r="B34" s="122"/>
      <c r="C34" s="123"/>
      <c r="D34" s="121"/>
      <c r="E34" s="122"/>
      <c r="F34" s="123"/>
      <c r="G34" s="121"/>
      <c r="H34" s="122"/>
      <c r="I34" s="123"/>
      <c r="J34" s="33"/>
    </row>
    <row r="35" spans="1:10" ht="14.25" customHeight="1">
      <c r="A35" s="124" t="s">
        <v>386</v>
      </c>
      <c r="B35" s="125"/>
      <c r="C35" s="126"/>
      <c r="D35" s="124" t="s">
        <v>386</v>
      </c>
      <c r="E35" s="125"/>
      <c r="F35" s="126"/>
      <c r="G35" s="124" t="s">
        <v>386</v>
      </c>
      <c r="H35" s="125"/>
      <c r="I35" s="126"/>
      <c r="J35" s="33"/>
    </row>
    <row r="36" spans="1:9" ht="11.25" customHeight="1">
      <c r="A36" s="57" t="s">
        <v>95</v>
      </c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83"/>
      <c r="B37" s="75"/>
      <c r="C37" s="75"/>
      <c r="D37" s="75"/>
      <c r="E37" s="75"/>
      <c r="F37" s="75"/>
      <c r="G37" s="75"/>
      <c r="H37" s="75"/>
      <c r="I37" s="7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2018-06-22T09:02:37Z</dcterms:created>
  <dcterms:modified xsi:type="dcterms:W3CDTF">2018-06-22T09:02:37Z</dcterms:modified>
  <cp:category/>
  <cp:version/>
  <cp:contentType/>
  <cp:contentStatus/>
</cp:coreProperties>
</file>