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<sst xmlns="http://schemas.openxmlformats.org/spreadsheetml/2006/main" count="459" uniqueCount="215">
  <si>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</si>
  <si>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</si>
  <si>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</si>
  <si>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</si>
  <si>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</si>
  <si>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</si>
  <si>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</si>
  <si>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</si>
  <si>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</si>
  <si>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</si>
  <si>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</si>
  <si>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</si>
  <si>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</si>
  <si>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</si>
  <si>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</si>
  <si>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</si>
  <si>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</si>
  <si>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</si>
  <si>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</si>
  <si>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</si>
  <si>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</si>
  <si>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</si>
  <si>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</si>
  <si>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</si>
  <si>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</si>
  <si>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</si>
  <si>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</si>
  <si>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</si>
  <si>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</si>
  <si>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</si>
  <si>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Poznámka:</t>
  </si>
  <si>
    <t>Objekt</t>
  </si>
  <si>
    <t>Kód</t>
  </si>
  <si>
    <t>113108407R00</t>
  </si>
  <si>
    <t>113109420R00</t>
  </si>
  <si>
    <t>113202111R00</t>
  </si>
  <si>
    <t>181301103R00</t>
  </si>
  <si>
    <t>10364200</t>
  </si>
  <si>
    <t>56</t>
  </si>
  <si>
    <t>567211120R00</t>
  </si>
  <si>
    <t>565151211R00</t>
  </si>
  <si>
    <t>57</t>
  </si>
  <si>
    <t>577112124R00</t>
  </si>
  <si>
    <t>573211111R00</t>
  </si>
  <si>
    <t>573211112R00</t>
  </si>
  <si>
    <t>91</t>
  </si>
  <si>
    <t>917862111R00</t>
  </si>
  <si>
    <t>589222090</t>
  </si>
  <si>
    <t>59217487</t>
  </si>
  <si>
    <t>59217481</t>
  </si>
  <si>
    <t>59217480</t>
  </si>
  <si>
    <t>919735112R00</t>
  </si>
  <si>
    <t>919735113R00</t>
  </si>
  <si>
    <t>H22</t>
  </si>
  <si>
    <t>998225111R00</t>
  </si>
  <si>
    <t>M46</t>
  </si>
  <si>
    <t>460620006R00</t>
  </si>
  <si>
    <t>S</t>
  </si>
  <si>
    <t>979095312R00</t>
  </si>
  <si>
    <t>979083117R00</t>
  </si>
  <si>
    <t>979990112R00</t>
  </si>
  <si>
    <t>979990103R00</t>
  </si>
  <si>
    <t>Rekonstrukce místní komunikace</t>
  </si>
  <si>
    <t>dopravní stavba</t>
  </si>
  <si>
    <t>ul. Kosmonautů, Chomutov</t>
  </si>
  <si>
    <t>Zkrácený popis</t>
  </si>
  <si>
    <t>Rozměry</t>
  </si>
  <si>
    <t>Přípravné a přidružené práce</t>
  </si>
  <si>
    <t>Odstranění podkladu pl. nad 50 m2, živice tl.7 cm</t>
  </si>
  <si>
    <t>Odstranění podkladu pl.nad 50 m2, beton, tl. 20 cm</t>
  </si>
  <si>
    <t>Vytrhání obrub z krajníků nebo obrubníků stojatých</t>
  </si>
  <si>
    <t>Povrchové úpravy terénu</t>
  </si>
  <si>
    <t>Rozprostření ornice, rovina, tl. 15-20 cm,do 500m2</t>
  </si>
  <si>
    <t>Ornice pro pozemkové úpravy</t>
  </si>
  <si>
    <t>Podkladní vrstvy komunikací a zpevněných ploch</t>
  </si>
  <si>
    <t>Podklad z prostého betonu tř. I  tloušťky 20 cm</t>
  </si>
  <si>
    <t>Podklad z obal kam.ACP 16+,ACP 22+,nad 3 m,tl.7 cm</t>
  </si>
  <si>
    <t>Kryty štěrkových a živičných pozemních komunikací a zpevněných ploch</t>
  </si>
  <si>
    <t>Beton asfalt. ACO 11 S modifik. š.nad 3 m, tl.5 cm</t>
  </si>
  <si>
    <t>Postřik živičný spojovací z asfaltu 0,5-0,7 kg/m2</t>
  </si>
  <si>
    <t>Postřik živičný spojovací z asfaltu 0,2 kg/m2</t>
  </si>
  <si>
    <t>Doplňující konstrukce a práce na pozemních komunikacích a zpevněných plochách</t>
  </si>
  <si>
    <t>Osazení stojat. obrub.bet. s opěrou,lože z C 12/15</t>
  </si>
  <si>
    <t>Beton C 12/15 (B 15) z PC fr.do 8 mm zavlhlý V1</t>
  </si>
  <si>
    <t>Obrubník silniční ABO 1-15 1000/150/300</t>
  </si>
  <si>
    <t>Obrubník silniční přechodový P 1000/150/150-300</t>
  </si>
  <si>
    <t>Obrubník silniční přechodový L 1000/150/150-300</t>
  </si>
  <si>
    <t>Řezání stávajícího živičného krytu tl. 5 - 10 cm</t>
  </si>
  <si>
    <t>Řezání stávajícího živičného krytu tl. 10 - 15 cm</t>
  </si>
  <si>
    <t>Komunikace pozemní a letiště</t>
  </si>
  <si>
    <t>Přesun hmot, pozemní komunikace, kryt živičný</t>
  </si>
  <si>
    <t>Zemní práce při montážích</t>
  </si>
  <si>
    <t>Osetí povrchu trávou</t>
  </si>
  <si>
    <t>Přesuny sutí</t>
  </si>
  <si>
    <t>Naložení a složení suti</t>
  </si>
  <si>
    <t>Vodorovné přemístění suti na skládku do 6000 m</t>
  </si>
  <si>
    <t>Poplatek za skládku suti - obalované kam. - asfalt</t>
  </si>
  <si>
    <t>Poplatek za skládku suti - beton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</si>
  <si>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</si>
  <si>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</si>
  <si>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</si>
  <si>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</si>
  <si>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</si>
  <si>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</si>
  <si>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</si>
  <si>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</si>
  <si>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</si>
  <si>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</si>
  <si>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</si>
  <si>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</si>
  <si>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</si>
  <si>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</si>
  <si>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</si>
  <si>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</si>
  <si>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</si>
  <si>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</si>
  <si>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</si>
  <si>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</si>
  <si>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</si>
  <si>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Chomutov</t>
  </si>
  <si>
    <t>PROJEKT ZEMAN - Pavel Zeman</t>
  </si>
  <si>
    <t>dle VŘ</t>
  </si>
  <si>
    <t>Pavel Zeman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</si>
  <si>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</si>
  <si>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</si>
  <si>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</si>
  <si>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</si>
  <si>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</si>
  <si>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</si>
  <si>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</si>
  <si>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</si>
  <si>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</si>
  <si>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</si>
  <si>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</si>
  <si>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</si>
  <si>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</si>
  <si>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</si>
  <si>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</si>
  <si>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18_</t>
  </si>
  <si>
    <t>56_</t>
  </si>
  <si>
    <t>57_</t>
  </si>
  <si>
    <t>91_</t>
  </si>
  <si>
    <t>H22_</t>
  </si>
  <si>
    <t>M46_</t>
  </si>
  <si>
    <t>S_</t>
  </si>
  <si>
    <t>1_</t>
  </si>
  <si>
    <t>5_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</si>
  <si>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</si>
  <si>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</si>
  <si>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</si>
  <si>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</si>
  <si>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</si>
  <si>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</si>
  <si>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</si>
  <si>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</si>
  <si>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</si>
  <si>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</si>
  <si>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</si>
  <si>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</si>
  <si>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</si>
  <si>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</si>
  <si>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</si>
  <si>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</si>
  <si>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</si>
  <si>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</si>
  <si>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</si>
  <si>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</si>
  <si>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</si>
  <si>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</si>
  <si>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</si>
  <si>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</si>
  <si>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</si>
  <si>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</si>
  <si>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</si>
  <si>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</si>
  <si>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</si>
  <si>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</si>
  <si>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</si>
  <si>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</si>
  <si>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</si>
  <si>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</si>
  <si>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</si>
  <si>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</si>
  <si>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</si>
  <si>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</si>
  <si>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</si>
  <si>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</si>
  <si>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</si>
  <si>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</si>
  <si>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</si>
  <si>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</si>
  <si>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</si>
  <si>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</si>
  <si>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</si>
  <si>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</si>
  <si>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</si>
  <si>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</si>
  <si>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</si>
  <si>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</si>
  <si>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00261891/CZ00261891</t>
  </si>
  <si>
    <t>73827657/CZ7405092442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</si>
  <si>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</si>
  <si>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</si>
  <si>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</si>
  <si>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</si>
  <si>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</si>
  <si>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</si>
  <si>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</si>
  <si>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</si>
  <si>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</si>
  <si>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</si>
  <si>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</si>
  <si>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</si>
  <si>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Ostatní (rezerva rozpočtu pro napojení stávajících objektů )</t>
  </si>
  <si>
    <t>kpl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</si>
</sst>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zoomScalePageLayoutView="0" workbookViewId="0" topLeftCell="A19">
      <selection activeCell="A45" sqref="A45:M4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9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78"/>
      <c r="D2" s="81" t="s">
        <v>62</v>
      </c>
      <c r="E2" s="83" t="s">
        <v>98</v>
      </c>
      <c r="F2" s="78"/>
      <c r="G2" s="83"/>
      <c r="H2" s="78"/>
      <c r="I2" s="84" t="s">
        <v>114</v>
      </c>
      <c r="J2" s="84" t="s">
        <v>119</v>
      </c>
      <c r="K2" s="78"/>
      <c r="L2" s="78"/>
      <c r="M2" s="85"/>
      <c r="N2" s="32"/>
    </row>
    <row r="3" spans="1:14" ht="12.75">
      <c r="A3" s="79"/>
      <c r="B3" s="80"/>
      <c r="C3" s="80"/>
      <c r="D3" s="82"/>
      <c r="E3" s="80"/>
      <c r="F3" s="80"/>
      <c r="G3" s="80"/>
      <c r="H3" s="80"/>
      <c r="I3" s="80"/>
      <c r="J3" s="80"/>
      <c r="K3" s="80"/>
      <c r="L3" s="80"/>
      <c r="M3" s="86"/>
      <c r="N3" s="32"/>
    </row>
    <row r="4" spans="1:14" ht="12.75">
      <c r="A4" s="87" t="s">
        <v>2</v>
      </c>
      <c r="B4" s="80"/>
      <c r="C4" s="80"/>
      <c r="D4" s="88" t="s">
        <v>63</v>
      </c>
      <c r="E4" s="89" t="s">
        <v>99</v>
      </c>
      <c r="F4" s="80"/>
      <c r="G4" s="89" t="s">
        <v>6</v>
      </c>
      <c r="H4" s="80"/>
      <c r="I4" s="88" t="s">
        <v>115</v>
      </c>
      <c r="J4" s="88" t="s">
        <v>120</v>
      </c>
      <c r="K4" s="80"/>
      <c r="L4" s="80"/>
      <c r="M4" s="86"/>
      <c r="N4" s="32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6"/>
      <c r="N5" s="32"/>
    </row>
    <row r="6" spans="1:14" ht="12.75">
      <c r="A6" s="87" t="s">
        <v>3</v>
      </c>
      <c r="B6" s="80"/>
      <c r="C6" s="80"/>
      <c r="D6" s="88" t="s">
        <v>64</v>
      </c>
      <c r="E6" s="89" t="s">
        <v>100</v>
      </c>
      <c r="F6" s="80"/>
      <c r="G6" s="80"/>
      <c r="H6" s="80"/>
      <c r="I6" s="88" t="s">
        <v>116</v>
      </c>
      <c r="J6" s="88" t="s">
        <v>121</v>
      </c>
      <c r="K6" s="80"/>
      <c r="L6" s="80"/>
      <c r="M6" s="86"/>
      <c r="N6" s="32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6"/>
      <c r="N7" s="32"/>
    </row>
    <row r="8" spans="1:14" ht="12.75">
      <c r="A8" s="87" t="s">
        <v>4</v>
      </c>
      <c r="B8" s="80"/>
      <c r="C8" s="80"/>
      <c r="D8" s="88"/>
      <c r="E8" s="89" t="s">
        <v>101</v>
      </c>
      <c r="F8" s="80"/>
      <c r="G8" s="92">
        <v>42963</v>
      </c>
      <c r="H8" s="80"/>
      <c r="I8" s="88" t="s">
        <v>117</v>
      </c>
      <c r="J8" s="88" t="s">
        <v>122</v>
      </c>
      <c r="K8" s="80"/>
      <c r="L8" s="80"/>
      <c r="M8" s="86"/>
      <c r="N8" s="32"/>
    </row>
    <row r="9" spans="1:14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3"/>
      <c r="N9" s="32"/>
    </row>
    <row r="10" spans="1:14" ht="12.75">
      <c r="A10" s="1" t="s">
        <v>5</v>
      </c>
      <c r="B10" s="10" t="s">
        <v>31</v>
      </c>
      <c r="C10" s="10" t="s">
        <v>32</v>
      </c>
      <c r="D10" s="10" t="s">
        <v>65</v>
      </c>
      <c r="E10" s="10" t="s">
        <v>102</v>
      </c>
      <c r="F10" s="16" t="s">
        <v>108</v>
      </c>
      <c r="G10" s="20" t="s">
        <v>109</v>
      </c>
      <c r="H10" s="94" t="s">
        <v>111</v>
      </c>
      <c r="I10" s="95"/>
      <c r="J10" s="96"/>
      <c r="K10" s="94" t="s">
        <v>124</v>
      </c>
      <c r="L10" s="96"/>
      <c r="M10" s="27" t="s">
        <v>125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66</v>
      </c>
      <c r="E11" s="11" t="s">
        <v>6</v>
      </c>
      <c r="F11" s="11" t="s">
        <v>6</v>
      </c>
      <c r="G11" s="21" t="s">
        <v>110</v>
      </c>
      <c r="H11" s="22" t="s">
        <v>112</v>
      </c>
      <c r="I11" s="23" t="s">
        <v>118</v>
      </c>
      <c r="J11" s="24" t="s">
        <v>123</v>
      </c>
      <c r="K11" s="22" t="s">
        <v>109</v>
      </c>
      <c r="L11" s="24" t="s">
        <v>123</v>
      </c>
      <c r="M11" s="28" t="s">
        <v>126</v>
      </c>
      <c r="N11" s="33"/>
      <c r="P11" s="26" t="s">
        <v>128</v>
      </c>
      <c r="Q11" s="26" t="s">
        <v>129</v>
      </c>
      <c r="R11" s="26" t="s">
        <v>130</v>
      </c>
      <c r="S11" s="26" t="s">
        <v>131</v>
      </c>
      <c r="T11" s="26" t="s">
        <v>132</v>
      </c>
      <c r="U11" s="26" t="s">
        <v>133</v>
      </c>
      <c r="V11" s="26" t="s">
        <v>134</v>
      </c>
      <c r="W11" s="26" t="s">
        <v>135</v>
      </c>
      <c r="X11" s="26" t="s">
        <v>136</v>
      </c>
    </row>
    <row r="12" spans="1:37" ht="12.75">
      <c r="A12" s="3"/>
      <c r="B12" s="12"/>
      <c r="C12" s="12" t="s">
        <v>17</v>
      </c>
      <c r="D12" s="97" t="s">
        <v>67</v>
      </c>
      <c r="E12" s="98"/>
      <c r="F12" s="98"/>
      <c r="G12" s="98"/>
      <c r="H12" s="36">
        <f>SUM(H13:H15)</f>
        <v>0</v>
      </c>
      <c r="I12" s="36">
        <f>SUM(I13:I15)</f>
        <v>0</v>
      </c>
      <c r="J12" s="36">
        <f>H12+I12</f>
        <v>0</v>
      </c>
      <c r="K12" s="25"/>
      <c r="L12" s="36">
        <f>SUM(L13:L15)</f>
        <v>581.6554</v>
      </c>
      <c r="M12" s="25"/>
      <c r="Y12" s="26"/>
      <c r="AI12" s="37">
        <f>SUM(Z13:Z15)</f>
        <v>0</v>
      </c>
      <c r="AJ12" s="37">
        <f>SUM(AA13:AA15)</f>
        <v>0</v>
      </c>
      <c r="AK12" s="37">
        <f>SUM(AB13:AB15)</f>
        <v>0</v>
      </c>
    </row>
    <row r="13" spans="1:48" ht="12.75">
      <c r="A13" s="4" t="s">
        <v>7</v>
      </c>
      <c r="B13" s="4"/>
      <c r="C13" s="4" t="s">
        <v>33</v>
      </c>
      <c r="D13" s="4" t="s">
        <v>68</v>
      </c>
      <c r="E13" s="4" t="s">
        <v>103</v>
      </c>
      <c r="F13" s="17">
        <v>1819.6</v>
      </c>
      <c r="G13" s="17"/>
      <c r="H13" s="17">
        <f>F13*AE13</f>
        <v>0</v>
      </c>
      <c r="I13" s="17">
        <f>J13-H13</f>
        <v>0</v>
      </c>
      <c r="J13" s="17">
        <f>F13*G13</f>
        <v>0</v>
      </c>
      <c r="K13" s="17">
        <v>0.154</v>
      </c>
      <c r="L13" s="17">
        <f>F13*K13</f>
        <v>280.2184</v>
      </c>
      <c r="M13" s="29" t="s">
        <v>127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</f>
        <v>0</v>
      </c>
      <c r="AF13" s="34">
        <f>G13*(1-0)</f>
        <v>0</v>
      </c>
      <c r="AG13" s="29" t="s">
        <v>7</v>
      </c>
      <c r="AM13" s="34">
        <f>F13*AE13</f>
        <v>0</v>
      </c>
      <c r="AN13" s="34">
        <f>F13*AF13</f>
        <v>0</v>
      </c>
      <c r="AO13" s="35" t="s">
        <v>137</v>
      </c>
      <c r="AP13" s="35" t="s">
        <v>145</v>
      </c>
      <c r="AQ13" s="26" t="s">
        <v>148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280.2184</v>
      </c>
    </row>
    <row r="14" spans="1:48" ht="12.75">
      <c r="A14" s="4" t="s">
        <v>8</v>
      </c>
      <c r="B14" s="4"/>
      <c r="C14" s="4" t="s">
        <v>34</v>
      </c>
      <c r="D14" s="4" t="s">
        <v>69</v>
      </c>
      <c r="E14" s="4" t="s">
        <v>103</v>
      </c>
      <c r="F14" s="17">
        <v>454.9</v>
      </c>
      <c r="G14" s="17"/>
      <c r="H14" s="17">
        <f>F14*AE14</f>
        <v>0</v>
      </c>
      <c r="I14" s="17">
        <f>J14-H14</f>
        <v>0</v>
      </c>
      <c r="J14" s="17">
        <f>F14*G14</f>
        <v>0</v>
      </c>
      <c r="K14" s="17">
        <v>0.48</v>
      </c>
      <c r="L14" s="17">
        <f>F14*K14</f>
        <v>218.35199999999998</v>
      </c>
      <c r="M14" s="29" t="s">
        <v>127</v>
      </c>
      <c r="P14" s="34">
        <f>IF(AG14="5",J14,0)</f>
        <v>0</v>
      </c>
      <c r="R14" s="34">
        <f>IF(AG14="1",H14,0)</f>
        <v>0</v>
      </c>
      <c r="S14" s="34">
        <f>IF(AG14="1",I14,0)</f>
        <v>0</v>
      </c>
      <c r="T14" s="34">
        <f>IF(AG14="7",H14,0)</f>
        <v>0</v>
      </c>
      <c r="U14" s="34">
        <f>IF(AG14="7",I14,0)</f>
        <v>0</v>
      </c>
      <c r="V14" s="34">
        <f>IF(AG14="2",H14,0)</f>
        <v>0</v>
      </c>
      <c r="W14" s="34">
        <f>IF(AG14="2",I14,0)</f>
        <v>0</v>
      </c>
      <c r="X14" s="34">
        <f>IF(AG14="0",J14,0)</f>
        <v>0</v>
      </c>
      <c r="Y14" s="26"/>
      <c r="Z14" s="17">
        <f>IF(AD14=0,J14,0)</f>
        <v>0</v>
      </c>
      <c r="AA14" s="17">
        <f>IF(AD14=15,J14,0)</f>
        <v>0</v>
      </c>
      <c r="AB14" s="17">
        <f>IF(AD14=21,J14,0)</f>
        <v>0</v>
      </c>
      <c r="AD14" s="34">
        <v>21</v>
      </c>
      <c r="AE14" s="34">
        <f>G14*0</f>
        <v>0</v>
      </c>
      <c r="AF14" s="34">
        <f>G14*(1-0)</f>
        <v>0</v>
      </c>
      <c r="AG14" s="29" t="s">
        <v>7</v>
      </c>
      <c r="AM14" s="34">
        <f>F14*AE14</f>
        <v>0</v>
      </c>
      <c r="AN14" s="34">
        <f>F14*AF14</f>
        <v>0</v>
      </c>
      <c r="AO14" s="35" t="s">
        <v>137</v>
      </c>
      <c r="AP14" s="35" t="s">
        <v>145</v>
      </c>
      <c r="AQ14" s="26" t="s">
        <v>148</v>
      </c>
      <c r="AS14" s="34">
        <f>AM14+AN14</f>
        <v>0</v>
      </c>
      <c r="AT14" s="34">
        <f>G14/(100-AU14)*100</f>
        <v>0</v>
      </c>
      <c r="AU14" s="34">
        <v>0</v>
      </c>
      <c r="AV14" s="34">
        <f>L14</f>
        <v>218.35199999999998</v>
      </c>
    </row>
    <row r="15" spans="1:48" ht="12.75">
      <c r="A15" s="4" t="s">
        <v>9</v>
      </c>
      <c r="B15" s="4"/>
      <c r="C15" s="4" t="s">
        <v>35</v>
      </c>
      <c r="D15" s="4" t="s">
        <v>70</v>
      </c>
      <c r="E15" s="4" t="s">
        <v>104</v>
      </c>
      <c r="F15" s="17">
        <v>573</v>
      </c>
      <c r="G15" s="17"/>
      <c r="H15" s="17">
        <f>F15*AE15</f>
        <v>0</v>
      </c>
      <c r="I15" s="17">
        <f>J15-H15</f>
        <v>0</v>
      </c>
      <c r="J15" s="17">
        <f>F15*G15</f>
        <v>0</v>
      </c>
      <c r="K15" s="17">
        <v>0.145</v>
      </c>
      <c r="L15" s="17">
        <f>F15*K15</f>
        <v>83.085</v>
      </c>
      <c r="M15" s="29" t="s">
        <v>127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21</v>
      </c>
      <c r="AE15" s="34">
        <f>G15*0</f>
        <v>0</v>
      </c>
      <c r="AF15" s="34">
        <f>G15*(1-0)</f>
        <v>0</v>
      </c>
      <c r="AG15" s="29" t="s">
        <v>7</v>
      </c>
      <c r="AM15" s="34">
        <f>F15*AE15</f>
        <v>0</v>
      </c>
      <c r="AN15" s="34">
        <f>F15*AF15</f>
        <v>0</v>
      </c>
      <c r="AO15" s="35" t="s">
        <v>137</v>
      </c>
      <c r="AP15" s="35" t="s">
        <v>145</v>
      </c>
      <c r="AQ15" s="26" t="s">
        <v>148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83.085</v>
      </c>
    </row>
    <row r="16" spans="1:37" ht="12.75">
      <c r="A16" s="5"/>
      <c r="B16" s="13"/>
      <c r="C16" s="13" t="s">
        <v>24</v>
      </c>
      <c r="D16" s="99" t="s">
        <v>71</v>
      </c>
      <c r="E16" s="100"/>
      <c r="F16" s="100"/>
      <c r="G16" s="100"/>
      <c r="H16" s="37">
        <f>SUM(H17:H18)</f>
        <v>0</v>
      </c>
      <c r="I16" s="37">
        <f>SUM(I17:I18)</f>
        <v>0</v>
      </c>
      <c r="J16" s="37">
        <f>H16+I16</f>
        <v>0</v>
      </c>
      <c r="K16" s="26"/>
      <c r="L16" s="37">
        <f>SUM(L17:L18)</f>
        <v>95.69099999999999</v>
      </c>
      <c r="M16" s="26"/>
      <c r="Y16" s="26"/>
      <c r="AI16" s="37">
        <f>SUM(Z17:Z18)</f>
        <v>0</v>
      </c>
      <c r="AJ16" s="37">
        <f>SUM(AA17:AA18)</f>
        <v>0</v>
      </c>
      <c r="AK16" s="37">
        <f>SUM(AB17:AB18)</f>
        <v>0</v>
      </c>
    </row>
    <row r="17" spans="1:48" ht="12.75">
      <c r="A17" s="4" t="s">
        <v>10</v>
      </c>
      <c r="B17" s="4"/>
      <c r="C17" s="4" t="s">
        <v>36</v>
      </c>
      <c r="D17" s="4" t="s">
        <v>72</v>
      </c>
      <c r="E17" s="4" t="s">
        <v>103</v>
      </c>
      <c r="F17" s="17">
        <v>286.5</v>
      </c>
      <c r="G17" s="17"/>
      <c r="H17" s="17">
        <f>F17*AE17</f>
        <v>0</v>
      </c>
      <c r="I17" s="17">
        <f>J17-H17</f>
        <v>0</v>
      </c>
      <c r="J17" s="17">
        <f>F17*G17</f>
        <v>0</v>
      </c>
      <c r="K17" s="17">
        <v>0</v>
      </c>
      <c r="L17" s="17">
        <f>F17*K17</f>
        <v>0</v>
      </c>
      <c r="M17" s="29" t="s">
        <v>127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21</v>
      </c>
      <c r="AE17" s="34">
        <f>G17*0</f>
        <v>0</v>
      </c>
      <c r="AF17" s="34">
        <f>G17*(1-0)</f>
        <v>0</v>
      </c>
      <c r="AG17" s="29" t="s">
        <v>7</v>
      </c>
      <c r="AM17" s="34">
        <f>F17*AE17</f>
        <v>0</v>
      </c>
      <c r="AN17" s="34">
        <f>F17*AF17</f>
        <v>0</v>
      </c>
      <c r="AO17" s="35" t="s">
        <v>138</v>
      </c>
      <c r="AP17" s="35" t="s">
        <v>145</v>
      </c>
      <c r="AQ17" s="26" t="s">
        <v>148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</v>
      </c>
    </row>
    <row r="18" spans="1:48" ht="12.75">
      <c r="A18" s="6" t="s">
        <v>11</v>
      </c>
      <c r="B18" s="6"/>
      <c r="C18" s="6" t="s">
        <v>37</v>
      </c>
      <c r="D18" s="6" t="s">
        <v>73</v>
      </c>
      <c r="E18" s="6" t="s">
        <v>105</v>
      </c>
      <c r="F18" s="18">
        <v>57.3</v>
      </c>
      <c r="G18" s="18"/>
      <c r="H18" s="18">
        <f>F18*AE18</f>
        <v>0</v>
      </c>
      <c r="I18" s="18">
        <f>J18-H18</f>
        <v>0</v>
      </c>
      <c r="J18" s="18">
        <f>F18*G18</f>
        <v>0</v>
      </c>
      <c r="K18" s="18">
        <v>1.67</v>
      </c>
      <c r="L18" s="18">
        <f>F18*K18</f>
        <v>95.69099999999999</v>
      </c>
      <c r="M18" s="30" t="s">
        <v>127</v>
      </c>
      <c r="P18" s="34">
        <f>IF(AG18="5",J18,0)</f>
        <v>0</v>
      </c>
      <c r="R18" s="34">
        <f>IF(AG18="1",H18,0)</f>
        <v>0</v>
      </c>
      <c r="S18" s="34">
        <f>IF(AG18="1",I18,0)</f>
        <v>0</v>
      </c>
      <c r="T18" s="34">
        <f>IF(AG18="7",H18,0)</f>
        <v>0</v>
      </c>
      <c r="U18" s="34">
        <f>IF(AG18="7",I18,0)</f>
        <v>0</v>
      </c>
      <c r="V18" s="34">
        <f>IF(AG18="2",H18,0)</f>
        <v>0</v>
      </c>
      <c r="W18" s="34">
        <f>IF(AG18="2",I18,0)</f>
        <v>0</v>
      </c>
      <c r="X18" s="34">
        <f>IF(AG18="0",J18,0)</f>
        <v>0</v>
      </c>
      <c r="Y18" s="26"/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4">
        <v>21</v>
      </c>
      <c r="AE18" s="34">
        <f>G18*1</f>
        <v>0</v>
      </c>
      <c r="AF18" s="34">
        <f>G18*(1-1)</f>
        <v>0</v>
      </c>
      <c r="AG18" s="30" t="s">
        <v>7</v>
      </c>
      <c r="AM18" s="34">
        <f>F18*AE18</f>
        <v>0</v>
      </c>
      <c r="AN18" s="34">
        <f>F18*AF18</f>
        <v>0</v>
      </c>
      <c r="AO18" s="35" t="s">
        <v>138</v>
      </c>
      <c r="AP18" s="35" t="s">
        <v>145</v>
      </c>
      <c r="AQ18" s="26" t="s">
        <v>148</v>
      </c>
      <c r="AS18" s="34">
        <f>AM18+AN18</f>
        <v>0</v>
      </c>
      <c r="AT18" s="34">
        <f>G18/(100-AU18)*100</f>
        <v>0</v>
      </c>
      <c r="AU18" s="34">
        <v>0</v>
      </c>
      <c r="AV18" s="34">
        <f>L18</f>
        <v>95.69099999999999</v>
      </c>
    </row>
    <row r="19" spans="1:37" ht="12.75">
      <c r="A19" s="5"/>
      <c r="B19" s="13"/>
      <c r="C19" s="13" t="s">
        <v>38</v>
      </c>
      <c r="D19" s="99" t="s">
        <v>74</v>
      </c>
      <c r="E19" s="100"/>
      <c r="F19" s="100"/>
      <c r="G19" s="100"/>
      <c r="H19" s="37">
        <f>SUM(H20:H21)</f>
        <v>0</v>
      </c>
      <c r="I19" s="37">
        <f>SUM(I20:I21)</f>
        <v>0</v>
      </c>
      <c r="J19" s="37">
        <f>H19+I19</f>
        <v>0</v>
      </c>
      <c r="K19" s="26"/>
      <c r="L19" s="37">
        <f>SUM(L20:L21)</f>
        <v>566.432382</v>
      </c>
      <c r="M19" s="26"/>
      <c r="Y19" s="26"/>
      <c r="AI19" s="37">
        <f>SUM(Z20:Z21)</f>
        <v>0</v>
      </c>
      <c r="AJ19" s="37">
        <f>SUM(AA20:AA21)</f>
        <v>0</v>
      </c>
      <c r="AK19" s="37">
        <f>SUM(AB20:AB21)</f>
        <v>0</v>
      </c>
    </row>
    <row r="20" spans="1:48" ht="12.75">
      <c r="A20" s="4" t="s">
        <v>12</v>
      </c>
      <c r="B20" s="4"/>
      <c r="C20" s="4" t="s">
        <v>39</v>
      </c>
      <c r="D20" s="4" t="s">
        <v>75</v>
      </c>
      <c r="E20" s="4" t="s">
        <v>103</v>
      </c>
      <c r="F20" s="17">
        <v>454.9</v>
      </c>
      <c r="G20" s="17"/>
      <c r="H20" s="17">
        <f>F20*AE20</f>
        <v>0</v>
      </c>
      <c r="I20" s="17">
        <f>J20-H20</f>
        <v>0</v>
      </c>
      <c r="J20" s="17">
        <f>F20*G20</f>
        <v>0</v>
      </c>
      <c r="K20" s="17">
        <v>0.50666</v>
      </c>
      <c r="L20" s="17">
        <f>F20*K20</f>
        <v>230.47963399999998</v>
      </c>
      <c r="M20" s="29" t="s">
        <v>127</v>
      </c>
      <c r="P20" s="34">
        <f>IF(AG20="5",J20,0)</f>
        <v>0</v>
      </c>
      <c r="R20" s="34">
        <f>IF(AG20="1",H20,0)</f>
        <v>0</v>
      </c>
      <c r="S20" s="34">
        <f>IF(AG20="1",I20,0)</f>
        <v>0</v>
      </c>
      <c r="T20" s="34">
        <f>IF(AG20="7",H20,0)</f>
        <v>0</v>
      </c>
      <c r="U20" s="34">
        <f>IF(AG20="7",I20,0)</f>
        <v>0</v>
      </c>
      <c r="V20" s="34">
        <f>IF(AG20="2",H20,0)</f>
        <v>0</v>
      </c>
      <c r="W20" s="34">
        <f>IF(AG20="2",I20,0)</f>
        <v>0</v>
      </c>
      <c r="X20" s="34">
        <f>IF(AG20="0",J20,0)</f>
        <v>0</v>
      </c>
      <c r="Y20" s="26"/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21</v>
      </c>
      <c r="AE20" s="34">
        <f>G20*0.857579737335835</f>
        <v>0</v>
      </c>
      <c r="AF20" s="34">
        <f>G20*(1-0.857579737335835)</f>
        <v>0</v>
      </c>
      <c r="AG20" s="29" t="s">
        <v>7</v>
      </c>
      <c r="AM20" s="34">
        <f>F20*AE20</f>
        <v>0</v>
      </c>
      <c r="AN20" s="34">
        <f>F20*AF20</f>
        <v>0</v>
      </c>
      <c r="AO20" s="35" t="s">
        <v>139</v>
      </c>
      <c r="AP20" s="35" t="s">
        <v>146</v>
      </c>
      <c r="AQ20" s="26" t="s">
        <v>148</v>
      </c>
      <c r="AS20" s="34">
        <f>AM20+AN20</f>
        <v>0</v>
      </c>
      <c r="AT20" s="34">
        <f>G20/(100-AU20)*100</f>
        <v>0</v>
      </c>
      <c r="AU20" s="34">
        <v>0</v>
      </c>
      <c r="AV20" s="34">
        <f>L20</f>
        <v>230.47963399999998</v>
      </c>
    </row>
    <row r="21" spans="1:48" ht="12.75">
      <c r="A21" s="4" t="s">
        <v>13</v>
      </c>
      <c r="B21" s="4"/>
      <c r="C21" s="4" t="s">
        <v>40</v>
      </c>
      <c r="D21" s="4" t="s">
        <v>76</v>
      </c>
      <c r="E21" s="4" t="s">
        <v>103</v>
      </c>
      <c r="F21" s="17">
        <v>1819.6</v>
      </c>
      <c r="G21" s="17"/>
      <c r="H21" s="17">
        <f>F21*AE21</f>
        <v>0</v>
      </c>
      <c r="I21" s="17">
        <f>J21-H21</f>
        <v>0</v>
      </c>
      <c r="J21" s="17">
        <f>F21*G21</f>
        <v>0</v>
      </c>
      <c r="K21" s="17">
        <v>0.18463</v>
      </c>
      <c r="L21" s="17">
        <f>F21*K21</f>
        <v>335.952748</v>
      </c>
      <c r="M21" s="29" t="s">
        <v>127</v>
      </c>
      <c r="P21" s="34">
        <f>IF(AG21="5",J21,0)</f>
        <v>0</v>
      </c>
      <c r="R21" s="34">
        <f>IF(AG21="1",H21,0)</f>
        <v>0</v>
      </c>
      <c r="S21" s="34">
        <f>IF(AG21="1",I21,0)</f>
        <v>0</v>
      </c>
      <c r="T21" s="34">
        <f>IF(AG21="7",H21,0)</f>
        <v>0</v>
      </c>
      <c r="U21" s="34">
        <f>IF(AG21="7",I21,0)</f>
        <v>0</v>
      </c>
      <c r="V21" s="34">
        <f>IF(AG21="2",H21,0)</f>
        <v>0</v>
      </c>
      <c r="W21" s="34">
        <f>IF(AG21="2",I21,0)</f>
        <v>0</v>
      </c>
      <c r="X21" s="34">
        <f>IF(AG21="0",J21,0)</f>
        <v>0</v>
      </c>
      <c r="Y21" s="26"/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4">
        <v>21</v>
      </c>
      <c r="AE21" s="34">
        <f>G21*0.878623279098874</f>
        <v>0</v>
      </c>
      <c r="AF21" s="34">
        <f>G21*(1-0.878623279098874)</f>
        <v>0</v>
      </c>
      <c r="AG21" s="29" t="s">
        <v>7</v>
      </c>
      <c r="AM21" s="34">
        <f>F21*AE21</f>
        <v>0</v>
      </c>
      <c r="AN21" s="34">
        <f>F21*AF21</f>
        <v>0</v>
      </c>
      <c r="AO21" s="35" t="s">
        <v>139</v>
      </c>
      <c r="AP21" s="35" t="s">
        <v>146</v>
      </c>
      <c r="AQ21" s="26" t="s">
        <v>148</v>
      </c>
      <c r="AS21" s="34">
        <f>AM21+AN21</f>
        <v>0</v>
      </c>
      <c r="AT21" s="34">
        <f>G21/(100-AU21)*100</f>
        <v>0</v>
      </c>
      <c r="AU21" s="34">
        <v>0</v>
      </c>
      <c r="AV21" s="34">
        <f>L21</f>
        <v>335.952748</v>
      </c>
    </row>
    <row r="22" spans="1:37" ht="12.75">
      <c r="A22" s="5"/>
      <c r="B22" s="13"/>
      <c r="C22" s="13" t="s">
        <v>41</v>
      </c>
      <c r="D22" s="99" t="s">
        <v>77</v>
      </c>
      <c r="E22" s="100"/>
      <c r="F22" s="100"/>
      <c r="G22" s="100"/>
      <c r="H22" s="37">
        <f>SUM(H23:H25)</f>
        <v>0</v>
      </c>
      <c r="I22" s="37">
        <f>SUM(I23:I25)</f>
        <v>0</v>
      </c>
      <c r="J22" s="37">
        <f>H22+I22</f>
        <v>0</v>
      </c>
      <c r="K22" s="26"/>
      <c r="L22" s="37">
        <f>SUM(L23:L25)</f>
        <v>237.603368</v>
      </c>
      <c r="M22" s="26"/>
      <c r="Y22" s="26"/>
      <c r="AI22" s="37">
        <f>SUM(Z23:Z25)</f>
        <v>0</v>
      </c>
      <c r="AJ22" s="37">
        <f>SUM(AA23:AA25)</f>
        <v>0</v>
      </c>
      <c r="AK22" s="37">
        <f>SUM(AB23:AB25)</f>
        <v>0</v>
      </c>
    </row>
    <row r="23" spans="1:48" ht="12.75">
      <c r="A23" s="4" t="s">
        <v>14</v>
      </c>
      <c r="B23" s="4"/>
      <c r="C23" s="4" t="s">
        <v>42</v>
      </c>
      <c r="D23" s="4" t="s">
        <v>78</v>
      </c>
      <c r="E23" s="4" t="s">
        <v>103</v>
      </c>
      <c r="F23" s="17">
        <v>1819.6</v>
      </c>
      <c r="G23" s="17"/>
      <c r="H23" s="17">
        <f>F23*AE23</f>
        <v>0</v>
      </c>
      <c r="I23" s="17">
        <f>J23-H23</f>
        <v>0</v>
      </c>
      <c r="J23" s="17">
        <f>F23*G23</f>
        <v>0</v>
      </c>
      <c r="K23" s="17">
        <v>0.12966</v>
      </c>
      <c r="L23" s="17">
        <f>F23*K23</f>
        <v>235.92933599999998</v>
      </c>
      <c r="M23" s="29" t="s">
        <v>127</v>
      </c>
      <c r="P23" s="34">
        <f>IF(AG23="5",J23,0)</f>
        <v>0</v>
      </c>
      <c r="R23" s="34">
        <f>IF(AG23="1",H23,0)</f>
        <v>0</v>
      </c>
      <c r="S23" s="34">
        <f>IF(AG23="1",I23,0)</f>
        <v>0</v>
      </c>
      <c r="T23" s="34">
        <f>IF(AG23="7",H23,0)</f>
        <v>0</v>
      </c>
      <c r="U23" s="34">
        <f>IF(AG23="7",I23,0)</f>
        <v>0</v>
      </c>
      <c r="V23" s="34">
        <f>IF(AG23="2",H23,0)</f>
        <v>0</v>
      </c>
      <c r="W23" s="34">
        <f>IF(AG23="2",I23,0)</f>
        <v>0</v>
      </c>
      <c r="X23" s="34">
        <f>IF(AG23="0",J23,0)</f>
        <v>0</v>
      </c>
      <c r="Y23" s="26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21</v>
      </c>
      <c r="AE23" s="34">
        <f>G23*0.914975206611571</f>
        <v>0</v>
      </c>
      <c r="AF23" s="34">
        <f>G23*(1-0.914975206611571)</f>
        <v>0</v>
      </c>
      <c r="AG23" s="29" t="s">
        <v>7</v>
      </c>
      <c r="AM23" s="34">
        <f>F23*AE23</f>
        <v>0</v>
      </c>
      <c r="AN23" s="34">
        <f>F23*AF23</f>
        <v>0</v>
      </c>
      <c r="AO23" s="35" t="s">
        <v>140</v>
      </c>
      <c r="AP23" s="35" t="s">
        <v>146</v>
      </c>
      <c r="AQ23" s="26" t="s">
        <v>148</v>
      </c>
      <c r="AS23" s="34">
        <f>AM23+AN23</f>
        <v>0</v>
      </c>
      <c r="AT23" s="34">
        <f>G23/(100-AU23)*100</f>
        <v>0</v>
      </c>
      <c r="AU23" s="34">
        <v>0</v>
      </c>
      <c r="AV23" s="34">
        <f>L23</f>
        <v>235.92933599999998</v>
      </c>
    </row>
    <row r="24" spans="1:48" ht="12.75">
      <c r="A24" s="4" t="s">
        <v>15</v>
      </c>
      <c r="B24" s="4"/>
      <c r="C24" s="4" t="s">
        <v>43</v>
      </c>
      <c r="D24" s="4" t="s">
        <v>79</v>
      </c>
      <c r="E24" s="4" t="s">
        <v>103</v>
      </c>
      <c r="F24" s="17">
        <v>1819.6</v>
      </c>
      <c r="G24" s="17"/>
      <c r="H24" s="17">
        <f>F24*AE24</f>
        <v>0</v>
      </c>
      <c r="I24" s="17">
        <f>J24-H24</f>
        <v>0</v>
      </c>
      <c r="J24" s="17">
        <f>F24*G24</f>
        <v>0</v>
      </c>
      <c r="K24" s="17">
        <v>0.00061</v>
      </c>
      <c r="L24" s="17">
        <f>F24*K24</f>
        <v>1.109956</v>
      </c>
      <c r="M24" s="29" t="s">
        <v>127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21</v>
      </c>
      <c r="AE24" s="34">
        <f>G24*0.931578947368421</f>
        <v>0</v>
      </c>
      <c r="AF24" s="34">
        <f>G24*(1-0.931578947368421)</f>
        <v>0</v>
      </c>
      <c r="AG24" s="29" t="s">
        <v>7</v>
      </c>
      <c r="AM24" s="34">
        <f>F24*AE24</f>
        <v>0</v>
      </c>
      <c r="AN24" s="34">
        <f>F24*AF24</f>
        <v>0</v>
      </c>
      <c r="AO24" s="35" t="s">
        <v>140</v>
      </c>
      <c r="AP24" s="35" t="s">
        <v>146</v>
      </c>
      <c r="AQ24" s="26" t="s">
        <v>148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1.109956</v>
      </c>
    </row>
    <row r="25" spans="1:48" ht="12.75">
      <c r="A25" s="4" t="s">
        <v>16</v>
      </c>
      <c r="B25" s="4"/>
      <c r="C25" s="4" t="s">
        <v>44</v>
      </c>
      <c r="D25" s="4" t="s">
        <v>80</v>
      </c>
      <c r="E25" s="4" t="s">
        <v>103</v>
      </c>
      <c r="F25" s="17">
        <v>1819.6</v>
      </c>
      <c r="G25" s="17"/>
      <c r="H25" s="17">
        <f>F25*AE25</f>
        <v>0</v>
      </c>
      <c r="I25" s="17">
        <f>J25-H25</f>
        <v>0</v>
      </c>
      <c r="J25" s="17">
        <f>F25*G25</f>
        <v>0</v>
      </c>
      <c r="K25" s="17">
        <v>0.00031</v>
      </c>
      <c r="L25" s="17">
        <f>F25*K25</f>
        <v>0.564076</v>
      </c>
      <c r="M25" s="29" t="s">
        <v>127</v>
      </c>
      <c r="P25" s="34">
        <f>IF(AG25="5",J25,0)</f>
        <v>0</v>
      </c>
      <c r="R25" s="34">
        <f>IF(AG25="1",H25,0)</f>
        <v>0</v>
      </c>
      <c r="S25" s="34">
        <f>IF(AG25="1",I25,0)</f>
        <v>0</v>
      </c>
      <c r="T25" s="34">
        <f>IF(AG25="7",H25,0)</f>
        <v>0</v>
      </c>
      <c r="U25" s="34">
        <f>IF(AG25="7",I25,0)</f>
        <v>0</v>
      </c>
      <c r="V25" s="34">
        <f>IF(AG25="2",H25,0)</f>
        <v>0</v>
      </c>
      <c r="W25" s="34">
        <f>IF(AG25="2",I25,0)</f>
        <v>0</v>
      </c>
      <c r="X25" s="34">
        <f>IF(AG25="0",J25,0)</f>
        <v>0</v>
      </c>
      <c r="Y25" s="26"/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4">
        <v>21</v>
      </c>
      <c r="AE25" s="34">
        <f>G25*0.875342465753425</f>
        <v>0</v>
      </c>
      <c r="AF25" s="34">
        <f>G25*(1-0.875342465753425)</f>
        <v>0</v>
      </c>
      <c r="AG25" s="29" t="s">
        <v>7</v>
      </c>
      <c r="AM25" s="34">
        <f>F25*AE25</f>
        <v>0</v>
      </c>
      <c r="AN25" s="34">
        <f>F25*AF25</f>
        <v>0</v>
      </c>
      <c r="AO25" s="35" t="s">
        <v>140</v>
      </c>
      <c r="AP25" s="35" t="s">
        <v>146</v>
      </c>
      <c r="AQ25" s="26" t="s">
        <v>148</v>
      </c>
      <c r="AS25" s="34">
        <f>AM25+AN25</f>
        <v>0</v>
      </c>
      <c r="AT25" s="34">
        <f>G25/(100-AU25)*100</f>
        <v>0</v>
      </c>
      <c r="AU25" s="34">
        <v>0</v>
      </c>
      <c r="AV25" s="34">
        <f>L25</f>
        <v>0.564076</v>
      </c>
    </row>
    <row r="26" spans="1:37" ht="12.75">
      <c r="A26" s="5"/>
      <c r="B26" s="13"/>
      <c r="C26" s="13" t="s">
        <v>45</v>
      </c>
      <c r="D26" s="99" t="s">
        <v>81</v>
      </c>
      <c r="E26" s="100"/>
      <c r="F26" s="100"/>
      <c r="G26" s="100"/>
      <c r="H26" s="37">
        <f>SUM(H27:H33)</f>
        <v>0</v>
      </c>
      <c r="I26" s="37">
        <f>SUM(I27:I33)</f>
        <v>0</v>
      </c>
      <c r="J26" s="37">
        <f>H26+I26</f>
        <v>0</v>
      </c>
      <c r="K26" s="26"/>
      <c r="L26" s="37">
        <f>SUM(L27:L33)</f>
        <v>240.04702</v>
      </c>
      <c r="M26" s="26"/>
      <c r="Y26" s="26"/>
      <c r="AI26" s="37">
        <f>SUM(Z27:Z33)</f>
        <v>0</v>
      </c>
      <c r="AJ26" s="37">
        <f>SUM(AA27:AA33)</f>
        <v>0</v>
      </c>
      <c r="AK26" s="37">
        <f>SUM(AB27:AB33)</f>
        <v>0</v>
      </c>
    </row>
    <row r="27" spans="1:48" ht="12.75">
      <c r="A27" s="4" t="s">
        <v>17</v>
      </c>
      <c r="B27" s="4"/>
      <c r="C27" s="4" t="s">
        <v>46</v>
      </c>
      <c r="D27" s="4" t="s">
        <v>82</v>
      </c>
      <c r="E27" s="4" t="s">
        <v>104</v>
      </c>
      <c r="F27" s="17">
        <v>573</v>
      </c>
      <c r="G27" s="17"/>
      <c r="H27" s="17">
        <f aca="true" t="shared" si="0" ref="H27:H33">F27*AE27</f>
        <v>0</v>
      </c>
      <c r="I27" s="17">
        <f aca="true" t="shared" si="1" ref="I27:I33">J27-H27</f>
        <v>0</v>
      </c>
      <c r="J27" s="17">
        <f aca="true" t="shared" si="2" ref="J27:J33">F27*G27</f>
        <v>0</v>
      </c>
      <c r="K27" s="17">
        <v>0.14874</v>
      </c>
      <c r="L27" s="17">
        <f aca="true" t="shared" si="3" ref="L27:L33">F27*K27</f>
        <v>85.22802</v>
      </c>
      <c r="M27" s="29" t="s">
        <v>127</v>
      </c>
      <c r="P27" s="34">
        <f aca="true" t="shared" si="4" ref="P27:P33">IF(AG27="5",J27,0)</f>
        <v>0</v>
      </c>
      <c r="R27" s="34">
        <f aca="true" t="shared" si="5" ref="R27:R33">IF(AG27="1",H27,0)</f>
        <v>0</v>
      </c>
      <c r="S27" s="34">
        <f aca="true" t="shared" si="6" ref="S27:S33">IF(AG27="1",I27,0)</f>
        <v>0</v>
      </c>
      <c r="T27" s="34">
        <f aca="true" t="shared" si="7" ref="T27:T33">IF(AG27="7",H27,0)</f>
        <v>0</v>
      </c>
      <c r="U27" s="34">
        <f aca="true" t="shared" si="8" ref="U27:U33">IF(AG27="7",I27,0)</f>
        <v>0</v>
      </c>
      <c r="V27" s="34">
        <f aca="true" t="shared" si="9" ref="V27:V33">IF(AG27="2",H27,0)</f>
        <v>0</v>
      </c>
      <c r="W27" s="34">
        <f aca="true" t="shared" si="10" ref="W27:W33">IF(AG27="2",I27,0)</f>
        <v>0</v>
      </c>
      <c r="X27" s="34">
        <f aca="true" t="shared" si="11" ref="X27:X33">IF(AG27="0",J27,0)</f>
        <v>0</v>
      </c>
      <c r="Y27" s="26"/>
      <c r="Z27" s="17">
        <f aca="true" t="shared" si="12" ref="Z27:Z33">IF(AD27=0,J27,0)</f>
        <v>0</v>
      </c>
      <c r="AA27" s="17">
        <f aca="true" t="shared" si="13" ref="AA27:AA33">IF(AD27=15,J27,0)</f>
        <v>0</v>
      </c>
      <c r="AB27" s="17">
        <f aca="true" t="shared" si="14" ref="AB27:AB33">IF(AD27=21,J27,0)</f>
        <v>0</v>
      </c>
      <c r="AD27" s="34">
        <v>21</v>
      </c>
      <c r="AE27" s="34">
        <f>G27*0.598416666666667</f>
        <v>0</v>
      </c>
      <c r="AF27" s="34">
        <f>G27*(1-0.598416666666667)</f>
        <v>0</v>
      </c>
      <c r="AG27" s="29" t="s">
        <v>7</v>
      </c>
      <c r="AM27" s="34">
        <f aca="true" t="shared" si="15" ref="AM27:AM33">F27*AE27</f>
        <v>0</v>
      </c>
      <c r="AN27" s="34">
        <f aca="true" t="shared" si="16" ref="AN27:AN33">F27*AF27</f>
        <v>0</v>
      </c>
      <c r="AO27" s="35" t="s">
        <v>141</v>
      </c>
      <c r="AP27" s="35" t="s">
        <v>147</v>
      </c>
      <c r="AQ27" s="26" t="s">
        <v>148</v>
      </c>
      <c r="AS27" s="34">
        <f aca="true" t="shared" si="17" ref="AS27:AS33">AM27+AN27</f>
        <v>0</v>
      </c>
      <c r="AT27" s="34">
        <f aca="true" t="shared" si="18" ref="AT27:AT33">G27/(100-AU27)*100</f>
        <v>0</v>
      </c>
      <c r="AU27" s="34">
        <v>0</v>
      </c>
      <c r="AV27" s="34">
        <f aca="true" t="shared" si="19" ref="AV27:AV33">L27</f>
        <v>85.22802</v>
      </c>
    </row>
    <row r="28" spans="1:48" ht="12.75">
      <c r="A28" s="6" t="s">
        <v>18</v>
      </c>
      <c r="B28" s="6"/>
      <c r="C28" s="6" t="s">
        <v>47</v>
      </c>
      <c r="D28" s="6" t="s">
        <v>83</v>
      </c>
      <c r="E28" s="6" t="s">
        <v>105</v>
      </c>
      <c r="F28" s="18">
        <v>40.11</v>
      </c>
      <c r="G28" s="18"/>
      <c r="H28" s="18">
        <f t="shared" si="0"/>
        <v>0</v>
      </c>
      <c r="I28" s="18">
        <f t="shared" si="1"/>
        <v>0</v>
      </c>
      <c r="J28" s="18">
        <f t="shared" si="2"/>
        <v>0</v>
      </c>
      <c r="K28" s="18">
        <v>2.5</v>
      </c>
      <c r="L28" s="18">
        <f t="shared" si="3"/>
        <v>100.275</v>
      </c>
      <c r="M28" s="30" t="s">
        <v>127</v>
      </c>
      <c r="P28" s="34">
        <f t="shared" si="4"/>
        <v>0</v>
      </c>
      <c r="R28" s="34">
        <f t="shared" si="5"/>
        <v>0</v>
      </c>
      <c r="S28" s="34">
        <f t="shared" si="6"/>
        <v>0</v>
      </c>
      <c r="T28" s="34">
        <f t="shared" si="7"/>
        <v>0</v>
      </c>
      <c r="U28" s="34">
        <f t="shared" si="8"/>
        <v>0</v>
      </c>
      <c r="V28" s="34">
        <f t="shared" si="9"/>
        <v>0</v>
      </c>
      <c r="W28" s="34">
        <f t="shared" si="10"/>
        <v>0</v>
      </c>
      <c r="X28" s="34">
        <f t="shared" si="11"/>
        <v>0</v>
      </c>
      <c r="Y28" s="26"/>
      <c r="Z28" s="18">
        <f t="shared" si="12"/>
        <v>0</v>
      </c>
      <c r="AA28" s="18">
        <f t="shared" si="13"/>
        <v>0</v>
      </c>
      <c r="AB28" s="18">
        <f t="shared" si="14"/>
        <v>0</v>
      </c>
      <c r="AD28" s="34">
        <v>21</v>
      </c>
      <c r="AE28" s="34">
        <f>G28*1</f>
        <v>0</v>
      </c>
      <c r="AF28" s="34">
        <f>G28*(1-1)</f>
        <v>0</v>
      </c>
      <c r="AG28" s="30" t="s">
        <v>7</v>
      </c>
      <c r="AM28" s="34">
        <f t="shared" si="15"/>
        <v>0</v>
      </c>
      <c r="AN28" s="34">
        <f t="shared" si="16"/>
        <v>0</v>
      </c>
      <c r="AO28" s="35" t="s">
        <v>141</v>
      </c>
      <c r="AP28" s="35" t="s">
        <v>147</v>
      </c>
      <c r="AQ28" s="26" t="s">
        <v>148</v>
      </c>
      <c r="AS28" s="34">
        <f t="shared" si="17"/>
        <v>0</v>
      </c>
      <c r="AT28" s="34">
        <f t="shared" si="18"/>
        <v>0</v>
      </c>
      <c r="AU28" s="34">
        <v>0</v>
      </c>
      <c r="AV28" s="34">
        <f t="shared" si="19"/>
        <v>100.275</v>
      </c>
    </row>
    <row r="29" spans="1:48" ht="12.75">
      <c r="A29" s="6" t="s">
        <v>19</v>
      </c>
      <c r="B29" s="6"/>
      <c r="C29" s="6" t="s">
        <v>48</v>
      </c>
      <c r="D29" s="6" t="s">
        <v>84</v>
      </c>
      <c r="E29" s="6" t="s">
        <v>106</v>
      </c>
      <c r="F29" s="18">
        <v>557</v>
      </c>
      <c r="G29" s="18"/>
      <c r="H29" s="18">
        <f t="shared" si="0"/>
        <v>0</v>
      </c>
      <c r="I29" s="18">
        <f t="shared" si="1"/>
        <v>0</v>
      </c>
      <c r="J29" s="18">
        <f t="shared" si="2"/>
        <v>0</v>
      </c>
      <c r="K29" s="18">
        <v>0.096</v>
      </c>
      <c r="L29" s="18">
        <f t="shared" si="3"/>
        <v>53.472</v>
      </c>
      <c r="M29" s="30" t="s">
        <v>127</v>
      </c>
      <c r="P29" s="34">
        <f t="shared" si="4"/>
        <v>0</v>
      </c>
      <c r="R29" s="34">
        <f t="shared" si="5"/>
        <v>0</v>
      </c>
      <c r="S29" s="34">
        <f t="shared" si="6"/>
        <v>0</v>
      </c>
      <c r="T29" s="34">
        <f t="shared" si="7"/>
        <v>0</v>
      </c>
      <c r="U29" s="34">
        <f t="shared" si="8"/>
        <v>0</v>
      </c>
      <c r="V29" s="34">
        <f t="shared" si="9"/>
        <v>0</v>
      </c>
      <c r="W29" s="34">
        <f t="shared" si="10"/>
        <v>0</v>
      </c>
      <c r="X29" s="34">
        <f t="shared" si="11"/>
        <v>0</v>
      </c>
      <c r="Y29" s="26"/>
      <c r="Z29" s="18">
        <f t="shared" si="12"/>
        <v>0</v>
      </c>
      <c r="AA29" s="18">
        <f t="shared" si="13"/>
        <v>0</v>
      </c>
      <c r="AB29" s="18">
        <f t="shared" si="14"/>
        <v>0</v>
      </c>
      <c r="AD29" s="34">
        <v>21</v>
      </c>
      <c r="AE29" s="34">
        <f>G29*1</f>
        <v>0</v>
      </c>
      <c r="AF29" s="34">
        <f>G29*(1-1)</f>
        <v>0</v>
      </c>
      <c r="AG29" s="30" t="s">
        <v>7</v>
      </c>
      <c r="AM29" s="34">
        <f t="shared" si="15"/>
        <v>0</v>
      </c>
      <c r="AN29" s="34">
        <f t="shared" si="16"/>
        <v>0</v>
      </c>
      <c r="AO29" s="35" t="s">
        <v>141</v>
      </c>
      <c r="AP29" s="35" t="s">
        <v>147</v>
      </c>
      <c r="AQ29" s="26" t="s">
        <v>148</v>
      </c>
      <c r="AS29" s="34">
        <f t="shared" si="17"/>
        <v>0</v>
      </c>
      <c r="AT29" s="34">
        <f t="shared" si="18"/>
        <v>0</v>
      </c>
      <c r="AU29" s="34">
        <v>0</v>
      </c>
      <c r="AV29" s="34">
        <f t="shared" si="19"/>
        <v>53.472</v>
      </c>
    </row>
    <row r="30" spans="1:48" ht="12.75">
      <c r="A30" s="6" t="s">
        <v>20</v>
      </c>
      <c r="B30" s="6"/>
      <c r="C30" s="6" t="s">
        <v>49</v>
      </c>
      <c r="D30" s="6" t="s">
        <v>85</v>
      </c>
      <c r="E30" s="6" t="s">
        <v>106</v>
      </c>
      <c r="F30" s="18">
        <v>8</v>
      </c>
      <c r="G30" s="18"/>
      <c r="H30" s="18">
        <f t="shared" si="0"/>
        <v>0</v>
      </c>
      <c r="I30" s="18">
        <f t="shared" si="1"/>
        <v>0</v>
      </c>
      <c r="J30" s="18">
        <f t="shared" si="2"/>
        <v>0</v>
      </c>
      <c r="K30" s="18">
        <v>0.067</v>
      </c>
      <c r="L30" s="18">
        <f t="shared" si="3"/>
        <v>0.536</v>
      </c>
      <c r="M30" s="30" t="s">
        <v>127</v>
      </c>
      <c r="P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0</v>
      </c>
      <c r="U30" s="34">
        <f t="shared" si="8"/>
        <v>0</v>
      </c>
      <c r="V30" s="34">
        <f t="shared" si="9"/>
        <v>0</v>
      </c>
      <c r="W30" s="34">
        <f t="shared" si="10"/>
        <v>0</v>
      </c>
      <c r="X30" s="34">
        <f t="shared" si="11"/>
        <v>0</v>
      </c>
      <c r="Y30" s="26"/>
      <c r="Z30" s="18">
        <f t="shared" si="12"/>
        <v>0</v>
      </c>
      <c r="AA30" s="18">
        <f t="shared" si="13"/>
        <v>0</v>
      </c>
      <c r="AB30" s="18">
        <f t="shared" si="14"/>
        <v>0</v>
      </c>
      <c r="AD30" s="34">
        <v>21</v>
      </c>
      <c r="AE30" s="34">
        <f>G30*1</f>
        <v>0</v>
      </c>
      <c r="AF30" s="34">
        <f>G30*(1-1)</f>
        <v>0</v>
      </c>
      <c r="AG30" s="30" t="s">
        <v>7</v>
      </c>
      <c r="AM30" s="34">
        <f t="shared" si="15"/>
        <v>0</v>
      </c>
      <c r="AN30" s="34">
        <f t="shared" si="16"/>
        <v>0</v>
      </c>
      <c r="AO30" s="35" t="s">
        <v>141</v>
      </c>
      <c r="AP30" s="35" t="s">
        <v>147</v>
      </c>
      <c r="AQ30" s="26" t="s">
        <v>148</v>
      </c>
      <c r="AS30" s="34">
        <f t="shared" si="17"/>
        <v>0</v>
      </c>
      <c r="AT30" s="34">
        <f t="shared" si="18"/>
        <v>0</v>
      </c>
      <c r="AU30" s="34">
        <v>0</v>
      </c>
      <c r="AV30" s="34">
        <f t="shared" si="19"/>
        <v>0.536</v>
      </c>
    </row>
    <row r="31" spans="1:48" ht="12.75">
      <c r="A31" s="6" t="s">
        <v>21</v>
      </c>
      <c r="B31" s="6"/>
      <c r="C31" s="6" t="s">
        <v>50</v>
      </c>
      <c r="D31" s="6" t="s">
        <v>86</v>
      </c>
      <c r="E31" s="6" t="s">
        <v>106</v>
      </c>
      <c r="F31" s="18">
        <v>8</v>
      </c>
      <c r="G31" s="18"/>
      <c r="H31" s="18">
        <f t="shared" si="0"/>
        <v>0</v>
      </c>
      <c r="I31" s="18">
        <f t="shared" si="1"/>
        <v>0</v>
      </c>
      <c r="J31" s="18">
        <f t="shared" si="2"/>
        <v>0</v>
      </c>
      <c r="K31" s="18">
        <v>0.067</v>
      </c>
      <c r="L31" s="18">
        <f t="shared" si="3"/>
        <v>0.536</v>
      </c>
      <c r="M31" s="30" t="s">
        <v>127</v>
      </c>
      <c r="P31" s="34">
        <f t="shared" si="4"/>
        <v>0</v>
      </c>
      <c r="R31" s="34">
        <f t="shared" si="5"/>
        <v>0</v>
      </c>
      <c r="S31" s="34">
        <f t="shared" si="6"/>
        <v>0</v>
      </c>
      <c r="T31" s="34">
        <f t="shared" si="7"/>
        <v>0</v>
      </c>
      <c r="U31" s="34">
        <f t="shared" si="8"/>
        <v>0</v>
      </c>
      <c r="V31" s="34">
        <f t="shared" si="9"/>
        <v>0</v>
      </c>
      <c r="W31" s="34">
        <f t="shared" si="10"/>
        <v>0</v>
      </c>
      <c r="X31" s="34">
        <f t="shared" si="11"/>
        <v>0</v>
      </c>
      <c r="Y31" s="26"/>
      <c r="Z31" s="18">
        <f t="shared" si="12"/>
        <v>0</v>
      </c>
      <c r="AA31" s="18">
        <f t="shared" si="13"/>
        <v>0</v>
      </c>
      <c r="AB31" s="18">
        <f t="shared" si="14"/>
        <v>0</v>
      </c>
      <c r="AD31" s="34">
        <v>21</v>
      </c>
      <c r="AE31" s="34">
        <f>G31*1</f>
        <v>0</v>
      </c>
      <c r="AF31" s="34">
        <f>G31*(1-1)</f>
        <v>0</v>
      </c>
      <c r="AG31" s="30" t="s">
        <v>7</v>
      </c>
      <c r="AM31" s="34">
        <f t="shared" si="15"/>
        <v>0</v>
      </c>
      <c r="AN31" s="34">
        <f t="shared" si="16"/>
        <v>0</v>
      </c>
      <c r="AO31" s="35" t="s">
        <v>141</v>
      </c>
      <c r="AP31" s="35" t="s">
        <v>147</v>
      </c>
      <c r="AQ31" s="26" t="s">
        <v>148</v>
      </c>
      <c r="AS31" s="34">
        <f t="shared" si="17"/>
        <v>0</v>
      </c>
      <c r="AT31" s="34">
        <f t="shared" si="18"/>
        <v>0</v>
      </c>
      <c r="AU31" s="34">
        <v>0</v>
      </c>
      <c r="AV31" s="34">
        <f t="shared" si="19"/>
        <v>0.536</v>
      </c>
    </row>
    <row r="32" spans="1:48" ht="12.75">
      <c r="A32" s="4" t="s">
        <v>22</v>
      </c>
      <c r="B32" s="4"/>
      <c r="C32" s="4" t="s">
        <v>51</v>
      </c>
      <c r="D32" s="4" t="s">
        <v>87</v>
      </c>
      <c r="E32" s="4" t="s">
        <v>104</v>
      </c>
      <c r="F32" s="17">
        <v>18.44</v>
      </c>
      <c r="G32" s="17"/>
      <c r="H32" s="17">
        <f t="shared" si="0"/>
        <v>0</v>
      </c>
      <c r="I32" s="17">
        <f t="shared" si="1"/>
        <v>0</v>
      </c>
      <c r="J32" s="17">
        <f t="shared" si="2"/>
        <v>0</v>
      </c>
      <c r="K32" s="17">
        <v>0</v>
      </c>
      <c r="L32" s="17">
        <f t="shared" si="3"/>
        <v>0</v>
      </c>
      <c r="M32" s="29" t="s">
        <v>127</v>
      </c>
      <c r="P32" s="34">
        <f t="shared" si="4"/>
        <v>0</v>
      </c>
      <c r="R32" s="34">
        <f t="shared" si="5"/>
        <v>0</v>
      </c>
      <c r="S32" s="34">
        <f t="shared" si="6"/>
        <v>0</v>
      </c>
      <c r="T32" s="34">
        <f t="shared" si="7"/>
        <v>0</v>
      </c>
      <c r="U32" s="34">
        <f t="shared" si="8"/>
        <v>0</v>
      </c>
      <c r="V32" s="34">
        <f t="shared" si="9"/>
        <v>0</v>
      </c>
      <c r="W32" s="34">
        <f t="shared" si="10"/>
        <v>0</v>
      </c>
      <c r="X32" s="34">
        <f t="shared" si="11"/>
        <v>0</v>
      </c>
      <c r="Y32" s="26"/>
      <c r="Z32" s="17">
        <f t="shared" si="12"/>
        <v>0</v>
      </c>
      <c r="AA32" s="17">
        <f t="shared" si="13"/>
        <v>0</v>
      </c>
      <c r="AB32" s="17">
        <f t="shared" si="14"/>
        <v>0</v>
      </c>
      <c r="AD32" s="34">
        <v>21</v>
      </c>
      <c r="AE32" s="34">
        <f>G32*0.627004446840049</f>
        <v>0</v>
      </c>
      <c r="AF32" s="34">
        <f>G32*(1-0.627004446840049)</f>
        <v>0</v>
      </c>
      <c r="AG32" s="29" t="s">
        <v>7</v>
      </c>
      <c r="AM32" s="34">
        <f t="shared" si="15"/>
        <v>0</v>
      </c>
      <c r="AN32" s="34">
        <f t="shared" si="16"/>
        <v>0</v>
      </c>
      <c r="AO32" s="35" t="s">
        <v>141</v>
      </c>
      <c r="AP32" s="35" t="s">
        <v>147</v>
      </c>
      <c r="AQ32" s="26" t="s">
        <v>148</v>
      </c>
      <c r="AS32" s="34">
        <f t="shared" si="17"/>
        <v>0</v>
      </c>
      <c r="AT32" s="34">
        <f t="shared" si="18"/>
        <v>0</v>
      </c>
      <c r="AU32" s="34">
        <v>0</v>
      </c>
      <c r="AV32" s="34">
        <f t="shared" si="19"/>
        <v>0</v>
      </c>
    </row>
    <row r="33" spans="1:48" ht="12.75">
      <c r="A33" s="4" t="s">
        <v>23</v>
      </c>
      <c r="B33" s="4"/>
      <c r="C33" s="4" t="s">
        <v>52</v>
      </c>
      <c r="D33" s="4" t="s">
        <v>88</v>
      </c>
      <c r="E33" s="4" t="s">
        <v>104</v>
      </c>
      <c r="F33" s="17">
        <v>41.73</v>
      </c>
      <c r="G33" s="17"/>
      <c r="H33" s="17">
        <f t="shared" si="0"/>
        <v>0</v>
      </c>
      <c r="I33" s="17">
        <f t="shared" si="1"/>
        <v>0</v>
      </c>
      <c r="J33" s="17">
        <f t="shared" si="2"/>
        <v>0</v>
      </c>
      <c r="K33" s="17">
        <v>0</v>
      </c>
      <c r="L33" s="17">
        <f t="shared" si="3"/>
        <v>0</v>
      </c>
      <c r="M33" s="29" t="s">
        <v>127</v>
      </c>
      <c r="P33" s="34">
        <f t="shared" si="4"/>
        <v>0</v>
      </c>
      <c r="R33" s="34">
        <f t="shared" si="5"/>
        <v>0</v>
      </c>
      <c r="S33" s="34">
        <f t="shared" si="6"/>
        <v>0</v>
      </c>
      <c r="T33" s="34">
        <f t="shared" si="7"/>
        <v>0</v>
      </c>
      <c r="U33" s="34">
        <f t="shared" si="8"/>
        <v>0</v>
      </c>
      <c r="V33" s="34">
        <f t="shared" si="9"/>
        <v>0</v>
      </c>
      <c r="W33" s="34">
        <f t="shared" si="10"/>
        <v>0</v>
      </c>
      <c r="X33" s="34">
        <f t="shared" si="11"/>
        <v>0</v>
      </c>
      <c r="Y33" s="26"/>
      <c r="Z33" s="17">
        <f t="shared" si="12"/>
        <v>0</v>
      </c>
      <c r="AA33" s="17">
        <f t="shared" si="13"/>
        <v>0</v>
      </c>
      <c r="AB33" s="17">
        <f t="shared" si="14"/>
        <v>0</v>
      </c>
      <c r="AD33" s="34">
        <v>21</v>
      </c>
      <c r="AE33" s="34">
        <f>G33*0.61522002046702</f>
        <v>0</v>
      </c>
      <c r="AF33" s="34">
        <f>G33*(1-0.61522002046702)</f>
        <v>0</v>
      </c>
      <c r="AG33" s="29" t="s">
        <v>7</v>
      </c>
      <c r="AM33" s="34">
        <f t="shared" si="15"/>
        <v>0</v>
      </c>
      <c r="AN33" s="34">
        <f t="shared" si="16"/>
        <v>0</v>
      </c>
      <c r="AO33" s="35" t="s">
        <v>141</v>
      </c>
      <c r="AP33" s="35" t="s">
        <v>147</v>
      </c>
      <c r="AQ33" s="26" t="s">
        <v>148</v>
      </c>
      <c r="AS33" s="34">
        <f t="shared" si="17"/>
        <v>0</v>
      </c>
      <c r="AT33" s="34">
        <f t="shared" si="18"/>
        <v>0</v>
      </c>
      <c r="AU33" s="34">
        <v>0</v>
      </c>
      <c r="AV33" s="34">
        <f t="shared" si="19"/>
        <v>0</v>
      </c>
    </row>
    <row r="34" spans="1:37" ht="12.75">
      <c r="A34" s="5"/>
      <c r="B34" s="13"/>
      <c r="C34" s="13" t="s">
        <v>53</v>
      </c>
      <c r="D34" s="99" t="s">
        <v>89</v>
      </c>
      <c r="E34" s="100"/>
      <c r="F34" s="100"/>
      <c r="G34" s="100"/>
      <c r="H34" s="37">
        <f>SUM(H35:H35)</f>
        <v>0</v>
      </c>
      <c r="I34" s="37">
        <f>SUM(I35:I35)</f>
        <v>0</v>
      </c>
      <c r="J34" s="37">
        <f>H34+I34</f>
        <v>0</v>
      </c>
      <c r="K34" s="26"/>
      <c r="L34" s="37">
        <f>SUM(L35:L35)</f>
        <v>0</v>
      </c>
      <c r="M34" s="26"/>
      <c r="Y34" s="26"/>
      <c r="AI34" s="37">
        <f>SUM(Z35:Z35)</f>
        <v>0</v>
      </c>
      <c r="AJ34" s="37">
        <f>SUM(AA35:AA35)</f>
        <v>0</v>
      </c>
      <c r="AK34" s="37">
        <f>SUM(AB35:AB35)</f>
        <v>0</v>
      </c>
    </row>
    <row r="35" spans="1:48" ht="12.75">
      <c r="A35" s="4" t="s">
        <v>24</v>
      </c>
      <c r="B35" s="4"/>
      <c r="C35" s="4" t="s">
        <v>54</v>
      </c>
      <c r="D35" s="4" t="s">
        <v>90</v>
      </c>
      <c r="E35" s="4" t="s">
        <v>107</v>
      </c>
      <c r="F35" s="17">
        <v>804.0358</v>
      </c>
      <c r="G35" s="17"/>
      <c r="H35" s="17">
        <f>F35*AE35</f>
        <v>0</v>
      </c>
      <c r="I35" s="17">
        <f>J35-H35</f>
        <v>0</v>
      </c>
      <c r="J35" s="17">
        <f>F35*G35</f>
        <v>0</v>
      </c>
      <c r="K35" s="17">
        <v>0</v>
      </c>
      <c r="L35" s="17">
        <f>F35*K35</f>
        <v>0</v>
      </c>
      <c r="M35" s="29" t="s">
        <v>127</v>
      </c>
      <c r="P35" s="34">
        <f>IF(AG35="5",J35,0)</f>
        <v>0</v>
      </c>
      <c r="R35" s="34">
        <f>IF(AG35="1",H35,0)</f>
        <v>0</v>
      </c>
      <c r="S35" s="34">
        <f>IF(AG35="1",I35,0)</f>
        <v>0</v>
      </c>
      <c r="T35" s="34">
        <f>IF(AG35="7",H35,0)</f>
        <v>0</v>
      </c>
      <c r="U35" s="34">
        <f>IF(AG35="7",I35,0)</f>
        <v>0</v>
      </c>
      <c r="V35" s="34">
        <f>IF(AG35="2",H35,0)</f>
        <v>0</v>
      </c>
      <c r="W35" s="34">
        <f>IF(AG35="2",I35,0)</f>
        <v>0</v>
      </c>
      <c r="X35" s="34">
        <f>IF(AG35="0",J35,0)</f>
        <v>0</v>
      </c>
      <c r="Y35" s="26"/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4">
        <v>21</v>
      </c>
      <c r="AE35" s="34">
        <f>G35*0</f>
        <v>0</v>
      </c>
      <c r="AF35" s="34">
        <f>G35*(1-0)</f>
        <v>0</v>
      </c>
      <c r="AG35" s="29" t="s">
        <v>11</v>
      </c>
      <c r="AM35" s="34">
        <f>F35*AE35</f>
        <v>0</v>
      </c>
      <c r="AN35" s="34">
        <f>F35*AF35</f>
        <v>0</v>
      </c>
      <c r="AO35" s="35" t="s">
        <v>142</v>
      </c>
      <c r="AP35" s="35" t="s">
        <v>147</v>
      </c>
      <c r="AQ35" s="26" t="s">
        <v>148</v>
      </c>
      <c r="AS35" s="34">
        <f>AM35+AN35</f>
        <v>0</v>
      </c>
      <c r="AT35" s="34">
        <f>G35/(100-AU35)*100</f>
        <v>0</v>
      </c>
      <c r="AU35" s="34">
        <v>0</v>
      </c>
      <c r="AV35" s="34">
        <f>L35</f>
        <v>0</v>
      </c>
    </row>
    <row r="36" spans="1:37" ht="12.75">
      <c r="A36" s="5"/>
      <c r="B36" s="13"/>
      <c r="C36" s="13" t="s">
        <v>55</v>
      </c>
      <c r="D36" s="99" t="s">
        <v>91</v>
      </c>
      <c r="E36" s="100"/>
      <c r="F36" s="100"/>
      <c r="G36" s="100"/>
      <c r="H36" s="37">
        <f>SUM(H37:H37)</f>
        <v>0</v>
      </c>
      <c r="I36" s="37">
        <f>SUM(I37:I37)</f>
        <v>0</v>
      </c>
      <c r="J36" s="37">
        <f>H36+I36</f>
        <v>0</v>
      </c>
      <c r="K36" s="26"/>
      <c r="L36" s="37">
        <f>SUM(L37:L37)</f>
        <v>0.005730000000000001</v>
      </c>
      <c r="M36" s="26"/>
      <c r="Y36" s="26"/>
      <c r="AI36" s="37">
        <f>SUM(Z37:Z37)</f>
        <v>0</v>
      </c>
      <c r="AJ36" s="37">
        <f>SUM(AA37:AA37)</f>
        <v>0</v>
      </c>
      <c r="AK36" s="37">
        <f>SUM(AB37:AB37)</f>
        <v>0</v>
      </c>
    </row>
    <row r="37" spans="1:48" ht="12.75">
      <c r="A37" s="4" t="s">
        <v>25</v>
      </c>
      <c r="B37" s="4"/>
      <c r="C37" s="4" t="s">
        <v>56</v>
      </c>
      <c r="D37" s="4" t="s">
        <v>92</v>
      </c>
      <c r="E37" s="4" t="s">
        <v>103</v>
      </c>
      <c r="F37" s="17">
        <v>286.5</v>
      </c>
      <c r="G37" s="17"/>
      <c r="H37" s="17">
        <f>F37*AE37</f>
        <v>0</v>
      </c>
      <c r="I37" s="17">
        <f>J37-H37</f>
        <v>0</v>
      </c>
      <c r="J37" s="17">
        <f>F37*G37</f>
        <v>0</v>
      </c>
      <c r="K37" s="17">
        <v>2E-05</v>
      </c>
      <c r="L37" s="17">
        <f>F37*K37</f>
        <v>0.005730000000000001</v>
      </c>
      <c r="M37" s="29" t="s">
        <v>127</v>
      </c>
      <c r="P37" s="34">
        <f>IF(AG37="5",J37,0)</f>
        <v>0</v>
      </c>
      <c r="R37" s="34">
        <f>IF(AG37="1",H37,0)</f>
        <v>0</v>
      </c>
      <c r="S37" s="34">
        <f>IF(AG37="1",I37,0)</f>
        <v>0</v>
      </c>
      <c r="T37" s="34">
        <f>IF(AG37="7",H37,0)</f>
        <v>0</v>
      </c>
      <c r="U37" s="34">
        <f>IF(AG37="7",I37,0)</f>
        <v>0</v>
      </c>
      <c r="V37" s="34">
        <f>IF(AG37="2",H37,0)</f>
        <v>0</v>
      </c>
      <c r="W37" s="34">
        <f>IF(AG37="2",I37,0)</f>
        <v>0</v>
      </c>
      <c r="X37" s="34">
        <f>IF(AG37="0",J37,0)</f>
        <v>0</v>
      </c>
      <c r="Y37" s="26"/>
      <c r="Z37" s="17">
        <f>IF(AD37=0,J37,0)</f>
        <v>0</v>
      </c>
      <c r="AA37" s="17">
        <f>IF(AD37=15,J37,0)</f>
        <v>0</v>
      </c>
      <c r="AB37" s="17">
        <f>IF(AD37=21,J37,0)</f>
        <v>0</v>
      </c>
      <c r="AD37" s="34">
        <v>21</v>
      </c>
      <c r="AE37" s="34">
        <f>G37*0.14014933946008</f>
        <v>0</v>
      </c>
      <c r="AF37" s="34">
        <f>G37*(1-0.14014933946008)</f>
        <v>0</v>
      </c>
      <c r="AG37" s="29" t="s">
        <v>8</v>
      </c>
      <c r="AM37" s="34">
        <f>F37*AE37</f>
        <v>0</v>
      </c>
      <c r="AN37" s="34">
        <f>F37*AF37</f>
        <v>0</v>
      </c>
      <c r="AO37" s="35" t="s">
        <v>143</v>
      </c>
      <c r="AP37" s="35" t="s">
        <v>147</v>
      </c>
      <c r="AQ37" s="26" t="s">
        <v>148</v>
      </c>
      <c r="AS37" s="34">
        <f>AM37+AN37</f>
        <v>0</v>
      </c>
      <c r="AT37" s="34">
        <f>G37/(100-AU37)*100</f>
        <v>0</v>
      </c>
      <c r="AU37" s="34">
        <v>0</v>
      </c>
      <c r="AV37" s="34">
        <f>L37</f>
        <v>0.005730000000000001</v>
      </c>
    </row>
    <row r="38" spans="1:37" ht="12.75">
      <c r="A38" s="5"/>
      <c r="B38" s="13"/>
      <c r="C38" s="13" t="s">
        <v>57</v>
      </c>
      <c r="D38" s="99" t="s">
        <v>93</v>
      </c>
      <c r="E38" s="100"/>
      <c r="F38" s="100"/>
      <c r="G38" s="100"/>
      <c r="H38" s="37">
        <f>SUM(H39:H42)</f>
        <v>0</v>
      </c>
      <c r="I38" s="37">
        <f>SUM(I39:I42)</f>
        <v>0</v>
      </c>
      <c r="J38" s="37">
        <f>H38+I38</f>
        <v>0</v>
      </c>
      <c r="K38" s="26"/>
      <c r="L38" s="37">
        <f>SUM(L39:L42)</f>
        <v>0</v>
      </c>
      <c r="M38" s="26"/>
      <c r="Y38" s="26"/>
      <c r="AI38" s="37">
        <f>SUM(Z39:Z42)</f>
        <v>0</v>
      </c>
      <c r="AJ38" s="37">
        <f>SUM(AA39:AA42)</f>
        <v>0</v>
      </c>
      <c r="AK38" s="37">
        <f>SUM(AB39:AB42)</f>
        <v>0</v>
      </c>
    </row>
    <row r="39" spans="1:48" ht="12.75">
      <c r="A39" s="4" t="s">
        <v>26</v>
      </c>
      <c r="B39" s="4"/>
      <c r="C39" s="4" t="s">
        <v>58</v>
      </c>
      <c r="D39" s="4" t="s">
        <v>94</v>
      </c>
      <c r="E39" s="4" t="s">
        <v>107</v>
      </c>
      <c r="F39" s="17">
        <v>581.6554</v>
      </c>
      <c r="G39" s="17"/>
      <c r="H39" s="17">
        <f>F39*AE39</f>
        <v>0</v>
      </c>
      <c r="I39" s="17">
        <f>J39-H39</f>
        <v>0</v>
      </c>
      <c r="J39" s="17">
        <f>F39*G39</f>
        <v>0</v>
      </c>
      <c r="K39" s="17">
        <v>0</v>
      </c>
      <c r="L39" s="17">
        <f>F39*K39</f>
        <v>0</v>
      </c>
      <c r="M39" s="29" t="s">
        <v>127</v>
      </c>
      <c r="P39" s="34">
        <f>IF(AG39="5",J39,0)</f>
        <v>0</v>
      </c>
      <c r="R39" s="34">
        <f>IF(AG39="1",H39,0)</f>
        <v>0</v>
      </c>
      <c r="S39" s="34">
        <f>IF(AG39="1",I39,0)</f>
        <v>0</v>
      </c>
      <c r="T39" s="34">
        <f>IF(AG39="7",H39,0)</f>
        <v>0</v>
      </c>
      <c r="U39" s="34">
        <f>IF(AG39="7",I39,0)</f>
        <v>0</v>
      </c>
      <c r="V39" s="34">
        <f>IF(AG39="2",H39,0)</f>
        <v>0</v>
      </c>
      <c r="W39" s="34">
        <f>IF(AG39="2",I39,0)</f>
        <v>0</v>
      </c>
      <c r="X39" s="34">
        <f>IF(AG39="0",J39,0)</f>
        <v>0</v>
      </c>
      <c r="Y39" s="26"/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4">
        <v>21</v>
      </c>
      <c r="AE39" s="34">
        <f>G39*0</f>
        <v>0</v>
      </c>
      <c r="AF39" s="34">
        <f>G39*(1-0)</f>
        <v>0</v>
      </c>
      <c r="AG39" s="29" t="s">
        <v>11</v>
      </c>
      <c r="AM39" s="34">
        <f>F39*AE39</f>
        <v>0</v>
      </c>
      <c r="AN39" s="34">
        <f>F39*AF39</f>
        <v>0</v>
      </c>
      <c r="AO39" s="35" t="s">
        <v>144</v>
      </c>
      <c r="AP39" s="35" t="s">
        <v>147</v>
      </c>
      <c r="AQ39" s="26" t="s">
        <v>148</v>
      </c>
      <c r="AS39" s="34">
        <f>AM39+AN39</f>
        <v>0</v>
      </c>
      <c r="AT39" s="34">
        <f>G39/(100-AU39)*100</f>
        <v>0</v>
      </c>
      <c r="AU39" s="34">
        <v>0</v>
      </c>
      <c r="AV39" s="34">
        <f>L39</f>
        <v>0</v>
      </c>
    </row>
    <row r="40" spans="1:48" ht="12.75">
      <c r="A40" s="4" t="s">
        <v>27</v>
      </c>
      <c r="B40" s="4"/>
      <c r="C40" s="4" t="s">
        <v>59</v>
      </c>
      <c r="D40" s="4" t="s">
        <v>95</v>
      </c>
      <c r="E40" s="4" t="s">
        <v>107</v>
      </c>
      <c r="F40" s="17">
        <v>581.6554</v>
      </c>
      <c r="G40" s="17"/>
      <c r="H40" s="17">
        <f>F40*AE40</f>
        <v>0</v>
      </c>
      <c r="I40" s="17">
        <f>J40-H40</f>
        <v>0</v>
      </c>
      <c r="J40" s="17">
        <f>F40*G40</f>
        <v>0</v>
      </c>
      <c r="K40" s="17">
        <v>0</v>
      </c>
      <c r="L40" s="17">
        <f>F40*K40</f>
        <v>0</v>
      </c>
      <c r="M40" s="29" t="s">
        <v>127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G40*0.00936537667862472</f>
        <v>0</v>
      </c>
      <c r="AF40" s="34">
        <f>G40*(1-0.00936537667862472)</f>
        <v>0</v>
      </c>
      <c r="AG40" s="29" t="s">
        <v>11</v>
      </c>
      <c r="AM40" s="34">
        <f>F40*AE40</f>
        <v>0</v>
      </c>
      <c r="AN40" s="34">
        <f>F40*AF40</f>
        <v>0</v>
      </c>
      <c r="AO40" s="35" t="s">
        <v>144</v>
      </c>
      <c r="AP40" s="35" t="s">
        <v>147</v>
      </c>
      <c r="AQ40" s="26" t="s">
        <v>148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0</v>
      </c>
    </row>
    <row r="41" spans="1:48" ht="12.75">
      <c r="A41" s="4" t="s">
        <v>28</v>
      </c>
      <c r="B41" s="4"/>
      <c r="C41" s="4" t="s">
        <v>60</v>
      </c>
      <c r="D41" s="4" t="s">
        <v>96</v>
      </c>
      <c r="E41" s="4" t="s">
        <v>107</v>
      </c>
      <c r="F41" s="17">
        <v>280.2184</v>
      </c>
      <c r="G41" s="17"/>
      <c r="H41" s="17">
        <f>F41*AE41</f>
        <v>0</v>
      </c>
      <c r="I41" s="17">
        <f>J41-H41</f>
        <v>0</v>
      </c>
      <c r="J41" s="17">
        <f>F41*G41</f>
        <v>0</v>
      </c>
      <c r="K41" s="17">
        <v>0</v>
      </c>
      <c r="L41" s="17">
        <f>F41*K41</f>
        <v>0</v>
      </c>
      <c r="M41" s="29" t="s">
        <v>127</v>
      </c>
      <c r="P41" s="34">
        <f>IF(AG41="5",J41,0)</f>
        <v>0</v>
      </c>
      <c r="R41" s="34">
        <f>IF(AG41="1",H41,0)</f>
        <v>0</v>
      </c>
      <c r="S41" s="34">
        <f>IF(AG41="1",I41,0)</f>
        <v>0</v>
      </c>
      <c r="T41" s="34">
        <f>IF(AG41="7",H41,0)</f>
        <v>0</v>
      </c>
      <c r="U41" s="34">
        <f>IF(AG41="7",I41,0)</f>
        <v>0</v>
      </c>
      <c r="V41" s="34">
        <f>IF(AG41="2",H41,0)</f>
        <v>0</v>
      </c>
      <c r="W41" s="34">
        <f>IF(AG41="2",I41,0)</f>
        <v>0</v>
      </c>
      <c r="X41" s="34">
        <f>IF(AG41="0",J41,0)</f>
        <v>0</v>
      </c>
      <c r="Y41" s="26"/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4">
        <v>21</v>
      </c>
      <c r="AE41" s="34">
        <f>G41*0</f>
        <v>0</v>
      </c>
      <c r="AF41" s="34">
        <f>G41*(1-0)</f>
        <v>0</v>
      </c>
      <c r="AG41" s="29" t="s">
        <v>11</v>
      </c>
      <c r="AM41" s="34">
        <f>F41*AE41</f>
        <v>0</v>
      </c>
      <c r="AN41" s="34">
        <f>F41*AF41</f>
        <v>0</v>
      </c>
      <c r="AO41" s="35" t="s">
        <v>144</v>
      </c>
      <c r="AP41" s="35" t="s">
        <v>147</v>
      </c>
      <c r="AQ41" s="26" t="s">
        <v>148</v>
      </c>
      <c r="AS41" s="34">
        <f>AM41+AN41</f>
        <v>0</v>
      </c>
      <c r="AT41" s="34">
        <f>G41/(100-AU41)*100</f>
        <v>0</v>
      </c>
      <c r="AU41" s="34">
        <v>0</v>
      </c>
      <c r="AV41" s="34">
        <f>L41</f>
        <v>0</v>
      </c>
    </row>
    <row r="42" spans="1:48" ht="12.75">
      <c r="A42" s="7" t="s">
        <v>29</v>
      </c>
      <c r="B42" s="7"/>
      <c r="C42" s="7" t="s">
        <v>61</v>
      </c>
      <c r="D42" s="7" t="s">
        <v>97</v>
      </c>
      <c r="E42" s="7" t="s">
        <v>107</v>
      </c>
      <c r="F42" s="19">
        <v>301.437</v>
      </c>
      <c r="G42" s="19"/>
      <c r="H42" s="19">
        <f>F42*AE42</f>
        <v>0</v>
      </c>
      <c r="I42" s="19">
        <f>J42-H42</f>
        <v>0</v>
      </c>
      <c r="J42" s="19">
        <f>F42*G42</f>
        <v>0</v>
      </c>
      <c r="K42" s="19">
        <v>0</v>
      </c>
      <c r="L42" s="19">
        <f>F42*K42</f>
        <v>0</v>
      </c>
      <c r="M42" s="31" t="s">
        <v>127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21</v>
      </c>
      <c r="AE42" s="34">
        <f>G42*0</f>
        <v>0</v>
      </c>
      <c r="AF42" s="34">
        <f>G42*(1-0)</f>
        <v>0</v>
      </c>
      <c r="AG42" s="29" t="s">
        <v>11</v>
      </c>
      <c r="AM42" s="34">
        <f>F42*AE42</f>
        <v>0</v>
      </c>
      <c r="AN42" s="34">
        <f>F42*AF42</f>
        <v>0</v>
      </c>
      <c r="AO42" s="35" t="s">
        <v>144</v>
      </c>
      <c r="AP42" s="35" t="s">
        <v>147</v>
      </c>
      <c r="AQ42" s="26" t="s">
        <v>148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0</v>
      </c>
    </row>
    <row r="43" spans="1:13" ht="12.75">
      <c r="A43" s="8"/>
      <c r="B43" s="8"/>
      <c r="C43" s="8"/>
      <c r="D43" s="8"/>
      <c r="E43" s="8"/>
      <c r="F43" s="8"/>
      <c r="G43" s="8"/>
      <c r="H43" s="101" t="s">
        <v>113</v>
      </c>
      <c r="I43" s="102"/>
      <c r="J43" s="38">
        <f>ROUND(J12+J16+J19+J22+J26+J34+J36+J38,0)</f>
        <v>0</v>
      </c>
      <c r="K43" s="8"/>
      <c r="L43" s="8"/>
      <c r="M43" s="8"/>
    </row>
    <row r="44" ht="11.25" customHeight="1">
      <c r="A44" s="9" t="s">
        <v>30</v>
      </c>
    </row>
    <row r="45" spans="1:13" ht="38.25" customHeight="1">
      <c r="A45" s="8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</sheetData>
  <sheetProtection/>
  <mergeCells count="37">
    <mergeCell ref="D26:G26"/>
    <mergeCell ref="D34:G34"/>
    <mergeCell ref="D36:G36"/>
    <mergeCell ref="D38:G38"/>
    <mergeCell ref="H43:I43"/>
    <mergeCell ref="A45:M45"/>
    <mergeCell ref="H10:J10"/>
    <mergeCell ref="K10:L10"/>
    <mergeCell ref="D12:G12"/>
    <mergeCell ref="D16:G16"/>
    <mergeCell ref="D19:G19"/>
    <mergeCell ref="D22:G2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6" sqref="B6:C7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5" t="s">
        <v>149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81" t="s">
        <v>62</v>
      </c>
      <c r="C2" s="102"/>
      <c r="D2" s="84" t="s">
        <v>114</v>
      </c>
      <c r="E2" s="84" t="s">
        <v>119</v>
      </c>
      <c r="F2" s="78"/>
      <c r="G2" s="85"/>
      <c r="H2" s="32"/>
    </row>
    <row r="3" spans="1:8" ht="12.75">
      <c r="A3" s="79"/>
      <c r="B3" s="82"/>
      <c r="C3" s="82"/>
      <c r="D3" s="80"/>
      <c r="E3" s="80"/>
      <c r="F3" s="80"/>
      <c r="G3" s="86"/>
      <c r="H3" s="32"/>
    </row>
    <row r="4" spans="1:8" ht="12.75">
      <c r="A4" s="87" t="s">
        <v>2</v>
      </c>
      <c r="B4" s="88" t="s">
        <v>63</v>
      </c>
      <c r="C4" s="80"/>
      <c r="D4" s="88" t="s">
        <v>115</v>
      </c>
      <c r="E4" s="88" t="s">
        <v>120</v>
      </c>
      <c r="F4" s="80"/>
      <c r="G4" s="86"/>
      <c r="H4" s="32"/>
    </row>
    <row r="5" spans="1:8" ht="12.75">
      <c r="A5" s="79"/>
      <c r="B5" s="80"/>
      <c r="C5" s="80"/>
      <c r="D5" s="80"/>
      <c r="E5" s="80"/>
      <c r="F5" s="80"/>
      <c r="G5" s="86"/>
      <c r="H5" s="32"/>
    </row>
    <row r="6" spans="1:8" ht="12.75">
      <c r="A6" s="87" t="s">
        <v>3</v>
      </c>
      <c r="B6" s="88" t="s">
        <v>64</v>
      </c>
      <c r="C6" s="80"/>
      <c r="D6" s="88" t="s">
        <v>116</v>
      </c>
      <c r="E6" s="88" t="s">
        <v>121</v>
      </c>
      <c r="F6" s="80"/>
      <c r="G6" s="86"/>
      <c r="H6" s="32"/>
    </row>
    <row r="7" spans="1:8" ht="12.75">
      <c r="A7" s="79"/>
      <c r="B7" s="80"/>
      <c r="C7" s="80"/>
      <c r="D7" s="80"/>
      <c r="E7" s="80"/>
      <c r="F7" s="80"/>
      <c r="G7" s="86"/>
      <c r="H7" s="32"/>
    </row>
    <row r="8" spans="1:8" ht="12.75">
      <c r="A8" s="87" t="s">
        <v>117</v>
      </c>
      <c r="B8" s="88" t="s">
        <v>122</v>
      </c>
      <c r="C8" s="80"/>
      <c r="D8" s="89" t="s">
        <v>101</v>
      </c>
      <c r="E8" s="92">
        <v>42963</v>
      </c>
      <c r="F8" s="80"/>
      <c r="G8" s="86"/>
      <c r="H8" s="32"/>
    </row>
    <row r="9" spans="1:8" ht="12.75">
      <c r="A9" s="90"/>
      <c r="B9" s="91"/>
      <c r="C9" s="91"/>
      <c r="D9" s="91"/>
      <c r="E9" s="91"/>
      <c r="F9" s="91"/>
      <c r="G9" s="93"/>
      <c r="H9" s="32"/>
    </row>
    <row r="10" spans="1:8" ht="12.75">
      <c r="A10" s="39" t="s">
        <v>31</v>
      </c>
      <c r="B10" s="41" t="s">
        <v>32</v>
      </c>
      <c r="C10" s="42" t="s">
        <v>65</v>
      </c>
      <c r="D10" s="43" t="s">
        <v>150</v>
      </c>
      <c r="E10" s="43" t="s">
        <v>151</v>
      </c>
      <c r="F10" s="43" t="s">
        <v>152</v>
      </c>
      <c r="G10" s="45" t="s">
        <v>153</v>
      </c>
      <c r="H10" s="33"/>
    </row>
    <row r="11" spans="1:9" ht="12.75">
      <c r="A11" s="40"/>
      <c r="B11" s="40" t="s">
        <v>17</v>
      </c>
      <c r="C11" s="40" t="s">
        <v>67</v>
      </c>
      <c r="D11" s="46">
        <f>'Stavební rozpočet'!H12</f>
        <v>0</v>
      </c>
      <c r="E11" s="46">
        <f>'Stavební rozpočet'!I12</f>
        <v>0</v>
      </c>
      <c r="F11" s="46">
        <f aca="true" t="shared" si="0" ref="F11:F18">D11+E11</f>
        <v>0</v>
      </c>
      <c r="G11" s="46">
        <f>'Stavební rozpočet'!L12</f>
        <v>581.6554</v>
      </c>
      <c r="H11" s="34" t="s">
        <v>154</v>
      </c>
      <c r="I11" s="34">
        <f aca="true" t="shared" si="1" ref="I11:I18">IF(H11="F",0,F11)</f>
        <v>0</v>
      </c>
    </row>
    <row r="12" spans="1:9" ht="12.75">
      <c r="A12" s="15"/>
      <c r="B12" s="15" t="s">
        <v>24</v>
      </c>
      <c r="C12" s="15" t="s">
        <v>71</v>
      </c>
      <c r="D12" s="34">
        <f>'Stavební rozpočet'!H16</f>
        <v>0</v>
      </c>
      <c r="E12" s="34">
        <f>'Stavební rozpočet'!I16</f>
        <v>0</v>
      </c>
      <c r="F12" s="34">
        <f t="shared" si="0"/>
        <v>0</v>
      </c>
      <c r="G12" s="34">
        <f>'Stavební rozpočet'!L16</f>
        <v>95.69099999999999</v>
      </c>
      <c r="H12" s="34" t="s">
        <v>154</v>
      </c>
      <c r="I12" s="34">
        <f t="shared" si="1"/>
        <v>0</v>
      </c>
    </row>
    <row r="13" spans="1:9" ht="12.75">
      <c r="A13" s="15"/>
      <c r="B13" s="15" t="s">
        <v>38</v>
      </c>
      <c r="C13" s="15" t="s">
        <v>74</v>
      </c>
      <c r="D13" s="34">
        <f>'Stavební rozpočet'!H19</f>
        <v>0</v>
      </c>
      <c r="E13" s="34">
        <f>'Stavební rozpočet'!I19</f>
        <v>0</v>
      </c>
      <c r="F13" s="34">
        <f t="shared" si="0"/>
        <v>0</v>
      </c>
      <c r="G13" s="34">
        <f>'Stavební rozpočet'!L19</f>
        <v>566.432382</v>
      </c>
      <c r="H13" s="34" t="s">
        <v>154</v>
      </c>
      <c r="I13" s="34">
        <f t="shared" si="1"/>
        <v>0</v>
      </c>
    </row>
    <row r="14" spans="1:9" ht="12.75">
      <c r="A14" s="15"/>
      <c r="B14" s="15" t="s">
        <v>41</v>
      </c>
      <c r="C14" s="15" t="s">
        <v>77</v>
      </c>
      <c r="D14" s="34">
        <f>'Stavební rozpočet'!H22</f>
        <v>0</v>
      </c>
      <c r="E14" s="34">
        <f>'Stavební rozpočet'!I22</f>
        <v>0</v>
      </c>
      <c r="F14" s="34">
        <f t="shared" si="0"/>
        <v>0</v>
      </c>
      <c r="G14" s="34">
        <f>'Stavební rozpočet'!L22</f>
        <v>237.603368</v>
      </c>
      <c r="H14" s="34" t="s">
        <v>154</v>
      </c>
      <c r="I14" s="34">
        <f t="shared" si="1"/>
        <v>0</v>
      </c>
    </row>
    <row r="15" spans="1:9" ht="12.75">
      <c r="A15" s="15"/>
      <c r="B15" s="15" t="s">
        <v>45</v>
      </c>
      <c r="C15" s="15" t="s">
        <v>81</v>
      </c>
      <c r="D15" s="34">
        <f>'Stavební rozpočet'!H26</f>
        <v>0</v>
      </c>
      <c r="E15" s="34">
        <f>'Stavební rozpočet'!I26</f>
        <v>0</v>
      </c>
      <c r="F15" s="34">
        <f t="shared" si="0"/>
        <v>0</v>
      </c>
      <c r="G15" s="34">
        <f>'Stavební rozpočet'!L26</f>
        <v>240.04702</v>
      </c>
      <c r="H15" s="34" t="s">
        <v>154</v>
      </c>
      <c r="I15" s="34">
        <f t="shared" si="1"/>
        <v>0</v>
      </c>
    </row>
    <row r="16" spans="1:9" ht="12.75">
      <c r="A16" s="15"/>
      <c r="B16" s="15" t="s">
        <v>53</v>
      </c>
      <c r="C16" s="15" t="s">
        <v>89</v>
      </c>
      <c r="D16" s="34">
        <f>'Stavební rozpočet'!H34</f>
        <v>0</v>
      </c>
      <c r="E16" s="34">
        <f>'Stavební rozpočet'!I34</f>
        <v>0</v>
      </c>
      <c r="F16" s="34">
        <f t="shared" si="0"/>
        <v>0</v>
      </c>
      <c r="G16" s="34">
        <f>'Stavební rozpočet'!L34</f>
        <v>0</v>
      </c>
      <c r="H16" s="34" t="s">
        <v>154</v>
      </c>
      <c r="I16" s="34">
        <f t="shared" si="1"/>
        <v>0</v>
      </c>
    </row>
    <row r="17" spans="1:9" ht="12.75">
      <c r="A17" s="15"/>
      <c r="B17" s="15" t="s">
        <v>55</v>
      </c>
      <c r="C17" s="15" t="s">
        <v>91</v>
      </c>
      <c r="D17" s="34">
        <f>'Stavební rozpočet'!H36</f>
        <v>0</v>
      </c>
      <c r="E17" s="34">
        <f>'Stavební rozpočet'!I36</f>
        <v>0</v>
      </c>
      <c r="F17" s="34">
        <f t="shared" si="0"/>
        <v>0</v>
      </c>
      <c r="G17" s="34">
        <f>'Stavební rozpočet'!L36</f>
        <v>0.005730000000000001</v>
      </c>
      <c r="H17" s="34" t="s">
        <v>154</v>
      </c>
      <c r="I17" s="34">
        <f t="shared" si="1"/>
        <v>0</v>
      </c>
    </row>
    <row r="18" spans="1:9" ht="12.75">
      <c r="A18" s="15"/>
      <c r="B18" s="15" t="s">
        <v>57</v>
      </c>
      <c r="C18" s="15" t="s">
        <v>93</v>
      </c>
      <c r="D18" s="34">
        <f>'Stavební rozpočet'!H38</f>
        <v>0</v>
      </c>
      <c r="E18" s="34">
        <f>'Stavební rozpočet'!I38</f>
        <v>0</v>
      </c>
      <c r="F18" s="34">
        <f t="shared" si="0"/>
        <v>0</v>
      </c>
      <c r="G18" s="34">
        <f>'Stavební rozpočet'!L38</f>
        <v>0</v>
      </c>
      <c r="H18" s="34" t="s">
        <v>154</v>
      </c>
      <c r="I18" s="34">
        <f t="shared" si="1"/>
        <v>0</v>
      </c>
    </row>
    <row r="20" spans="5:6" ht="12.75">
      <c r="E20" s="44" t="s">
        <v>113</v>
      </c>
      <c r="F20" s="47">
        <f>ROUND(SUM(I11:I18),0)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F39" sqref="F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48"/>
      <c r="C1" s="103" t="s">
        <v>170</v>
      </c>
      <c r="D1" s="104"/>
      <c r="E1" s="104"/>
      <c r="F1" s="104"/>
      <c r="G1" s="104"/>
      <c r="H1" s="104"/>
      <c r="I1" s="104"/>
    </row>
    <row r="2" spans="1:10" ht="12.75">
      <c r="A2" s="77" t="s">
        <v>1</v>
      </c>
      <c r="B2" s="78"/>
      <c r="C2" s="81" t="s">
        <v>62</v>
      </c>
      <c r="D2" s="102"/>
      <c r="E2" s="84" t="s">
        <v>114</v>
      </c>
      <c r="F2" s="84" t="s">
        <v>119</v>
      </c>
      <c r="G2" s="78"/>
      <c r="H2" s="84" t="s">
        <v>195</v>
      </c>
      <c r="I2" s="105" t="s">
        <v>199</v>
      </c>
      <c r="J2" s="32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32"/>
    </row>
    <row r="4" spans="1:10" ht="12.75">
      <c r="A4" s="87" t="s">
        <v>2</v>
      </c>
      <c r="B4" s="80"/>
      <c r="C4" s="88" t="s">
        <v>63</v>
      </c>
      <c r="D4" s="80"/>
      <c r="E4" s="88" t="s">
        <v>115</v>
      </c>
      <c r="F4" s="88" t="s">
        <v>120</v>
      </c>
      <c r="G4" s="80"/>
      <c r="H4" s="88" t="s">
        <v>195</v>
      </c>
      <c r="I4" s="106" t="s">
        <v>200</v>
      </c>
      <c r="J4" s="32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2"/>
    </row>
    <row r="6" spans="1:10" ht="12.75">
      <c r="A6" s="87" t="s">
        <v>3</v>
      </c>
      <c r="B6" s="80"/>
      <c r="C6" s="88" t="s">
        <v>64</v>
      </c>
      <c r="D6" s="80"/>
      <c r="E6" s="88" t="s">
        <v>116</v>
      </c>
      <c r="F6" s="88" t="s">
        <v>121</v>
      </c>
      <c r="G6" s="80"/>
      <c r="H6" s="88" t="s">
        <v>195</v>
      </c>
      <c r="I6" s="106"/>
      <c r="J6" s="32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2"/>
    </row>
    <row r="8" spans="1:10" ht="12.75">
      <c r="A8" s="87" t="s">
        <v>99</v>
      </c>
      <c r="B8" s="80"/>
      <c r="C8" s="89" t="s">
        <v>6</v>
      </c>
      <c r="D8" s="80"/>
      <c r="E8" s="88" t="s">
        <v>100</v>
      </c>
      <c r="F8" s="80"/>
      <c r="G8" s="80"/>
      <c r="H8" s="89" t="s">
        <v>196</v>
      </c>
      <c r="I8" s="106" t="s">
        <v>29</v>
      </c>
      <c r="J8" s="32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2"/>
    </row>
    <row r="10" spans="1:10" ht="12.75">
      <c r="A10" s="87" t="s">
        <v>4</v>
      </c>
      <c r="B10" s="80"/>
      <c r="C10" s="88"/>
      <c r="D10" s="80"/>
      <c r="E10" s="88" t="s">
        <v>117</v>
      </c>
      <c r="F10" s="88" t="s">
        <v>122</v>
      </c>
      <c r="G10" s="80"/>
      <c r="H10" s="89" t="s">
        <v>197</v>
      </c>
      <c r="I10" s="109">
        <v>42963</v>
      </c>
      <c r="J10" s="32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10"/>
      <c r="J11" s="32"/>
    </row>
    <row r="12" spans="1:9" ht="23.25" customHeight="1">
      <c r="A12" s="111" t="s">
        <v>155</v>
      </c>
      <c r="B12" s="112"/>
      <c r="C12" s="112"/>
      <c r="D12" s="112"/>
      <c r="E12" s="112"/>
      <c r="F12" s="112"/>
      <c r="G12" s="112"/>
      <c r="H12" s="112"/>
      <c r="I12" s="112"/>
    </row>
    <row r="13" spans="1:10" ht="26.25" customHeight="1">
      <c r="A13" s="49" t="s">
        <v>156</v>
      </c>
      <c r="B13" s="113" t="s">
        <v>168</v>
      </c>
      <c r="C13" s="114"/>
      <c r="D13" s="49" t="s">
        <v>171</v>
      </c>
      <c r="E13" s="113" t="s">
        <v>180</v>
      </c>
      <c r="F13" s="114"/>
      <c r="G13" s="49" t="s">
        <v>181</v>
      </c>
      <c r="H13" s="113" t="s">
        <v>198</v>
      </c>
      <c r="I13" s="114"/>
      <c r="J13" s="32"/>
    </row>
    <row r="14" spans="1:10" ht="15" customHeight="1">
      <c r="A14" s="50" t="s">
        <v>157</v>
      </c>
      <c r="B14" s="54" t="s">
        <v>169</v>
      </c>
      <c r="C14" s="58">
        <f>SUM('Stavební rozpočet'!R12:R42)</f>
        <v>0</v>
      </c>
      <c r="D14" s="115" t="s">
        <v>172</v>
      </c>
      <c r="E14" s="116"/>
      <c r="F14" s="58">
        <f>VORN!I15</f>
        <v>0</v>
      </c>
      <c r="G14" s="115" t="s">
        <v>182</v>
      </c>
      <c r="H14" s="116"/>
      <c r="I14" s="58">
        <f>VORN!I21</f>
        <v>0</v>
      </c>
      <c r="J14" s="32"/>
    </row>
    <row r="15" spans="1:10" ht="15" customHeight="1">
      <c r="A15" s="51"/>
      <c r="B15" s="54" t="s">
        <v>118</v>
      </c>
      <c r="C15" s="58">
        <f>SUM('Stavební rozpočet'!S12:S42)</f>
        <v>0</v>
      </c>
      <c r="D15" s="115" t="s">
        <v>173</v>
      </c>
      <c r="E15" s="116"/>
      <c r="F15" s="58">
        <f>VORN!I16</f>
        <v>0</v>
      </c>
      <c r="G15" s="115" t="s">
        <v>183</v>
      </c>
      <c r="H15" s="116"/>
      <c r="I15" s="58">
        <f>VORN!I22</f>
        <v>0</v>
      </c>
      <c r="J15" s="32"/>
    </row>
    <row r="16" spans="1:10" ht="15" customHeight="1">
      <c r="A16" s="50" t="s">
        <v>158</v>
      </c>
      <c r="B16" s="54" t="s">
        <v>169</v>
      </c>
      <c r="C16" s="58">
        <f>SUM('Stavební rozpočet'!T12:T42)</f>
        <v>0</v>
      </c>
      <c r="D16" s="115" t="s">
        <v>174</v>
      </c>
      <c r="E16" s="116"/>
      <c r="F16" s="58">
        <f>VORN!I17</f>
        <v>0</v>
      </c>
      <c r="G16" s="115" t="s">
        <v>184</v>
      </c>
      <c r="H16" s="116"/>
      <c r="I16" s="58">
        <f>VORN!I23</f>
        <v>0</v>
      </c>
      <c r="J16" s="32"/>
    </row>
    <row r="17" spans="1:10" ht="15" customHeight="1">
      <c r="A17" s="51"/>
      <c r="B17" s="54" t="s">
        <v>118</v>
      </c>
      <c r="C17" s="58">
        <f>SUM('Stavební rozpočet'!U12:U42)</f>
        <v>0</v>
      </c>
      <c r="D17" s="115"/>
      <c r="E17" s="116"/>
      <c r="F17" s="59"/>
      <c r="G17" s="115" t="s">
        <v>185</v>
      </c>
      <c r="H17" s="116"/>
      <c r="I17" s="58">
        <f>VORN!I24</f>
        <v>0</v>
      </c>
      <c r="J17" s="32"/>
    </row>
    <row r="18" spans="1:10" ht="15" customHeight="1">
      <c r="A18" s="50" t="s">
        <v>159</v>
      </c>
      <c r="B18" s="54" t="s">
        <v>169</v>
      </c>
      <c r="C18" s="58">
        <f>SUM('Stavební rozpočet'!V12:V42)</f>
        <v>0</v>
      </c>
      <c r="D18" s="115"/>
      <c r="E18" s="116"/>
      <c r="F18" s="59"/>
      <c r="G18" s="115" t="s">
        <v>186</v>
      </c>
      <c r="H18" s="116"/>
      <c r="I18" s="58">
        <f>VORN!I25</f>
        <v>100000</v>
      </c>
      <c r="J18" s="32"/>
    </row>
    <row r="19" spans="1:10" ht="15" customHeight="1">
      <c r="A19" s="51"/>
      <c r="B19" s="54" t="s">
        <v>118</v>
      </c>
      <c r="C19" s="58">
        <f>SUM('Stavební rozpočet'!W12:W42)</f>
        <v>0</v>
      </c>
      <c r="D19" s="115"/>
      <c r="E19" s="116"/>
      <c r="F19" s="59"/>
      <c r="G19" s="115" t="s">
        <v>187</v>
      </c>
      <c r="H19" s="116"/>
      <c r="I19" s="58">
        <f>VORN!I26</f>
        <v>0</v>
      </c>
      <c r="J19" s="32"/>
    </row>
    <row r="20" spans="1:10" ht="15" customHeight="1">
      <c r="A20" s="117" t="s">
        <v>160</v>
      </c>
      <c r="B20" s="118"/>
      <c r="C20" s="58">
        <f>SUM('Stavební rozpočet'!X12:X42)</f>
        <v>0</v>
      </c>
      <c r="D20" s="115"/>
      <c r="E20" s="116"/>
      <c r="F20" s="59"/>
      <c r="G20" s="115"/>
      <c r="H20" s="116"/>
      <c r="I20" s="59"/>
      <c r="J20" s="32"/>
    </row>
    <row r="21" spans="1:10" ht="15" customHeight="1">
      <c r="A21" s="117" t="s">
        <v>161</v>
      </c>
      <c r="B21" s="118"/>
      <c r="C21" s="58">
        <f>SUM('Stavební rozpočet'!P12:P42)</f>
        <v>0</v>
      </c>
      <c r="D21" s="115"/>
      <c r="E21" s="116"/>
      <c r="F21" s="59"/>
      <c r="G21" s="115"/>
      <c r="H21" s="116"/>
      <c r="I21" s="59"/>
      <c r="J21" s="32"/>
    </row>
    <row r="22" spans="1:10" ht="16.5" customHeight="1">
      <c r="A22" s="117" t="s">
        <v>162</v>
      </c>
      <c r="B22" s="118"/>
      <c r="C22" s="58">
        <f>ROUND(SUM(C14:C21),0)</f>
        <v>0</v>
      </c>
      <c r="D22" s="117" t="s">
        <v>175</v>
      </c>
      <c r="E22" s="118"/>
      <c r="F22" s="58">
        <f>SUM(F14:F21)</f>
        <v>0</v>
      </c>
      <c r="G22" s="117" t="s">
        <v>188</v>
      </c>
      <c r="H22" s="118"/>
      <c r="I22" s="58">
        <f>SUM(I14:I21)</f>
        <v>100000</v>
      </c>
      <c r="J22" s="32"/>
    </row>
    <row r="23" spans="1:10" ht="15" customHeight="1">
      <c r="A23" s="8"/>
      <c r="B23" s="8"/>
      <c r="C23" s="56"/>
      <c r="D23" s="117" t="s">
        <v>176</v>
      </c>
      <c r="E23" s="118"/>
      <c r="F23" s="60">
        <v>0</v>
      </c>
      <c r="G23" s="117" t="s">
        <v>189</v>
      </c>
      <c r="H23" s="118"/>
      <c r="I23" s="58">
        <v>0</v>
      </c>
      <c r="J23" s="32"/>
    </row>
    <row r="24" spans="4:10" ht="15" customHeight="1">
      <c r="D24" s="8"/>
      <c r="E24" s="8"/>
      <c r="F24" s="61"/>
      <c r="G24" s="117" t="s">
        <v>190</v>
      </c>
      <c r="H24" s="118"/>
      <c r="I24" s="58">
        <f>vorn_sum</f>
        <v>0</v>
      </c>
      <c r="J24" s="32"/>
    </row>
    <row r="25" spans="6:10" ht="15" customHeight="1">
      <c r="F25" s="62"/>
      <c r="G25" s="117" t="s">
        <v>191</v>
      </c>
      <c r="H25" s="118"/>
      <c r="I25" s="58">
        <v>0</v>
      </c>
      <c r="J25" s="32"/>
    </row>
    <row r="26" spans="1:9" ht="12.75">
      <c r="A26" s="48"/>
      <c r="B26" s="48"/>
      <c r="C26" s="48"/>
      <c r="G26" s="8"/>
      <c r="H26" s="8"/>
      <c r="I26" s="8"/>
    </row>
    <row r="27" spans="1:9" ht="15" customHeight="1">
      <c r="A27" s="119" t="s">
        <v>163</v>
      </c>
      <c r="B27" s="120"/>
      <c r="C27" s="63">
        <f>ROUND(SUM('Stavební rozpočet'!Z12:Z42),0)</f>
        <v>0</v>
      </c>
      <c r="D27" s="57"/>
      <c r="E27" s="48"/>
      <c r="F27" s="48"/>
      <c r="G27" s="48"/>
      <c r="H27" s="48"/>
      <c r="I27" s="48"/>
    </row>
    <row r="28" spans="1:10" ht="15" customHeight="1">
      <c r="A28" s="119" t="s">
        <v>164</v>
      </c>
      <c r="B28" s="120"/>
      <c r="C28" s="63">
        <f>ROUND(SUM('Stavební rozpočet'!AA12:AA42),0)</f>
        <v>0</v>
      </c>
      <c r="D28" s="119" t="s">
        <v>177</v>
      </c>
      <c r="E28" s="120"/>
      <c r="F28" s="63">
        <f>ROUND(C28*(15/100),2)</f>
        <v>0</v>
      </c>
      <c r="G28" s="119" t="s">
        <v>192</v>
      </c>
      <c r="H28" s="120"/>
      <c r="I28" s="63">
        <f>ROUND(SUM(C27:C29),0)</f>
        <v>100000</v>
      </c>
      <c r="J28" s="32"/>
    </row>
    <row r="29" spans="1:10" ht="15" customHeight="1">
      <c r="A29" s="119" t="s">
        <v>165</v>
      </c>
      <c r="B29" s="120"/>
      <c r="C29" s="63">
        <f>ROUND(SUM('Stavební rozpočet'!AB12:AB42)+(F22+I22+F23+I23+I24+I25),0)</f>
        <v>100000</v>
      </c>
      <c r="D29" s="119" t="s">
        <v>178</v>
      </c>
      <c r="E29" s="120"/>
      <c r="F29" s="63">
        <f>ROUND(C29*(21/100),2)</f>
        <v>21000</v>
      </c>
      <c r="G29" s="119" t="s">
        <v>193</v>
      </c>
      <c r="H29" s="120"/>
      <c r="I29" s="63">
        <f>ROUND(SUM(F28:F29)+I28,0)</f>
        <v>121000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21" t="s">
        <v>166</v>
      </c>
      <c r="B31" s="122"/>
      <c r="C31" s="123"/>
      <c r="D31" s="121" t="s">
        <v>179</v>
      </c>
      <c r="E31" s="122"/>
      <c r="F31" s="123"/>
      <c r="G31" s="121" t="s">
        <v>194</v>
      </c>
      <c r="H31" s="122"/>
      <c r="I31" s="123"/>
      <c r="J31" s="33"/>
    </row>
    <row r="32" spans="1:10" ht="14.25" customHeight="1">
      <c r="A32" s="124"/>
      <c r="B32" s="125"/>
      <c r="C32" s="126"/>
      <c r="D32" s="124"/>
      <c r="E32" s="125"/>
      <c r="F32" s="126"/>
      <c r="G32" s="124"/>
      <c r="H32" s="125"/>
      <c r="I32" s="126"/>
      <c r="J32" s="33"/>
    </row>
    <row r="33" spans="1:10" ht="14.25" customHeight="1">
      <c r="A33" s="124"/>
      <c r="B33" s="125"/>
      <c r="C33" s="126"/>
      <c r="D33" s="124"/>
      <c r="E33" s="125"/>
      <c r="F33" s="126"/>
      <c r="G33" s="124"/>
      <c r="H33" s="125"/>
      <c r="I33" s="126"/>
      <c r="J33" s="33"/>
    </row>
    <row r="34" spans="1:10" ht="14.25" customHeight="1">
      <c r="A34" s="124"/>
      <c r="B34" s="125"/>
      <c r="C34" s="126"/>
      <c r="D34" s="124"/>
      <c r="E34" s="125"/>
      <c r="F34" s="126"/>
      <c r="G34" s="124"/>
      <c r="H34" s="125"/>
      <c r="I34" s="126"/>
      <c r="J34" s="33"/>
    </row>
    <row r="35" spans="1:10" ht="14.25" customHeight="1">
      <c r="A35" s="127" t="s">
        <v>167</v>
      </c>
      <c r="B35" s="128"/>
      <c r="C35" s="129"/>
      <c r="D35" s="127" t="s">
        <v>167</v>
      </c>
      <c r="E35" s="128"/>
      <c r="F35" s="129"/>
      <c r="G35" s="127" t="s">
        <v>167</v>
      </c>
      <c r="H35" s="128"/>
      <c r="I35" s="129"/>
      <c r="J35" s="33"/>
    </row>
    <row r="36" spans="1:9" ht="11.25" customHeight="1">
      <c r="A36" s="53" t="s">
        <v>30</v>
      </c>
      <c r="B36" s="55"/>
      <c r="C36" s="55"/>
      <c r="D36" s="55"/>
      <c r="E36" s="55"/>
      <c r="F36" s="55"/>
      <c r="G36" s="55"/>
      <c r="H36" s="55"/>
      <c r="I36" s="55"/>
    </row>
    <row r="37" spans="1:9" ht="38.25" customHeight="1">
      <c r="A37" s="88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22" sqref="I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48"/>
      <c r="C1" s="103" t="s">
        <v>209</v>
      </c>
      <c r="D1" s="104"/>
      <c r="E1" s="104"/>
      <c r="F1" s="104"/>
      <c r="G1" s="104"/>
      <c r="H1" s="104"/>
      <c r="I1" s="104"/>
    </row>
    <row r="2" spans="1:10" ht="12.75">
      <c r="A2" s="77" t="s">
        <v>1</v>
      </c>
      <c r="B2" s="78"/>
      <c r="C2" s="81" t="s">
        <v>62</v>
      </c>
      <c r="D2" s="102"/>
      <c r="E2" s="84" t="s">
        <v>114</v>
      </c>
      <c r="F2" s="84" t="s">
        <v>119</v>
      </c>
      <c r="G2" s="78"/>
      <c r="H2" s="84" t="s">
        <v>195</v>
      </c>
      <c r="I2" s="105" t="s">
        <v>199</v>
      </c>
      <c r="J2" s="32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32"/>
    </row>
    <row r="4" spans="1:10" ht="12.75">
      <c r="A4" s="87" t="s">
        <v>2</v>
      </c>
      <c r="B4" s="80"/>
      <c r="C4" s="88" t="s">
        <v>63</v>
      </c>
      <c r="D4" s="80"/>
      <c r="E4" s="88" t="s">
        <v>115</v>
      </c>
      <c r="F4" s="88" t="s">
        <v>120</v>
      </c>
      <c r="G4" s="80"/>
      <c r="H4" s="88" t="s">
        <v>195</v>
      </c>
      <c r="I4" s="106" t="s">
        <v>200</v>
      </c>
      <c r="J4" s="32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2"/>
    </row>
    <row r="6" spans="1:10" ht="12.75">
      <c r="A6" s="87" t="s">
        <v>3</v>
      </c>
      <c r="B6" s="80"/>
      <c r="C6" s="88" t="s">
        <v>64</v>
      </c>
      <c r="D6" s="80"/>
      <c r="E6" s="88" t="s">
        <v>116</v>
      </c>
      <c r="F6" s="88" t="s">
        <v>121</v>
      </c>
      <c r="G6" s="80"/>
      <c r="H6" s="88" t="s">
        <v>195</v>
      </c>
      <c r="I6" s="106"/>
      <c r="J6" s="32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2"/>
    </row>
    <row r="8" spans="1:10" ht="12.75">
      <c r="A8" s="87" t="s">
        <v>99</v>
      </c>
      <c r="B8" s="80"/>
      <c r="C8" s="89" t="s">
        <v>6</v>
      </c>
      <c r="D8" s="80"/>
      <c r="E8" s="88" t="s">
        <v>100</v>
      </c>
      <c r="F8" s="80"/>
      <c r="G8" s="80"/>
      <c r="H8" s="89" t="s">
        <v>196</v>
      </c>
      <c r="I8" s="106" t="s">
        <v>29</v>
      </c>
      <c r="J8" s="32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2"/>
    </row>
    <row r="10" spans="1:10" ht="12.75">
      <c r="A10" s="87" t="s">
        <v>4</v>
      </c>
      <c r="B10" s="80"/>
      <c r="C10" s="88"/>
      <c r="D10" s="80"/>
      <c r="E10" s="88" t="s">
        <v>117</v>
      </c>
      <c r="F10" s="88" t="s">
        <v>122</v>
      </c>
      <c r="G10" s="80"/>
      <c r="H10" s="89" t="s">
        <v>197</v>
      </c>
      <c r="I10" s="109">
        <v>42963</v>
      </c>
      <c r="J10" s="32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10"/>
      <c r="J11" s="32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30" t="s">
        <v>201</v>
      </c>
      <c r="B13" s="131"/>
      <c r="C13" s="131"/>
      <c r="D13" s="131"/>
      <c r="E13" s="131"/>
      <c r="F13" s="65"/>
      <c r="G13" s="65"/>
      <c r="H13" s="65"/>
      <c r="I13" s="65"/>
    </row>
    <row r="14" spans="1:10" ht="12.75">
      <c r="A14" s="132" t="s">
        <v>202</v>
      </c>
      <c r="B14" s="133"/>
      <c r="C14" s="133"/>
      <c r="D14" s="133"/>
      <c r="E14" s="134"/>
      <c r="F14" s="66" t="s">
        <v>210</v>
      </c>
      <c r="G14" s="66" t="s">
        <v>211</v>
      </c>
      <c r="H14" s="66" t="s">
        <v>212</v>
      </c>
      <c r="I14" s="66" t="s">
        <v>210</v>
      </c>
      <c r="J14" s="33"/>
    </row>
    <row r="15" spans="1:10" ht="12.75">
      <c r="A15" s="135" t="s">
        <v>172</v>
      </c>
      <c r="B15" s="136"/>
      <c r="C15" s="136"/>
      <c r="D15" s="136"/>
      <c r="E15" s="137"/>
      <c r="F15" s="67">
        <v>0</v>
      </c>
      <c r="G15" s="70"/>
      <c r="H15" s="70"/>
      <c r="I15" s="67">
        <f>F15</f>
        <v>0</v>
      </c>
      <c r="J15" s="32"/>
    </row>
    <row r="16" spans="1:10" ht="12.75">
      <c r="A16" s="135" t="s">
        <v>173</v>
      </c>
      <c r="B16" s="136"/>
      <c r="C16" s="136"/>
      <c r="D16" s="136"/>
      <c r="E16" s="137"/>
      <c r="F16" s="67">
        <v>0</v>
      </c>
      <c r="G16" s="70"/>
      <c r="H16" s="70"/>
      <c r="I16" s="67">
        <f>F16</f>
        <v>0</v>
      </c>
      <c r="J16" s="32"/>
    </row>
    <row r="17" spans="1:10" ht="12.75">
      <c r="A17" s="138" t="s">
        <v>174</v>
      </c>
      <c r="B17" s="139"/>
      <c r="C17" s="139"/>
      <c r="D17" s="139"/>
      <c r="E17" s="140"/>
      <c r="F17" s="68">
        <v>0</v>
      </c>
      <c r="G17" s="71"/>
      <c r="H17" s="71"/>
      <c r="I17" s="68">
        <f>F17</f>
        <v>0</v>
      </c>
      <c r="J17" s="32"/>
    </row>
    <row r="18" spans="1:10" ht="12.75">
      <c r="A18" s="141" t="s">
        <v>203</v>
      </c>
      <c r="B18" s="142"/>
      <c r="C18" s="142"/>
      <c r="D18" s="142"/>
      <c r="E18" s="143"/>
      <c r="F18" s="69"/>
      <c r="G18" s="72"/>
      <c r="H18" s="72"/>
      <c r="I18" s="73">
        <f>SUM(I15:I17)</f>
        <v>0</v>
      </c>
      <c r="J18" s="33"/>
    </row>
    <row r="19" spans="1:9" ht="12.75">
      <c r="A19" s="64"/>
      <c r="B19" s="64"/>
      <c r="C19" s="64"/>
      <c r="D19" s="64"/>
      <c r="E19" s="64"/>
      <c r="F19" s="64"/>
      <c r="G19" s="64"/>
      <c r="H19" s="64"/>
      <c r="I19" s="64"/>
    </row>
    <row r="20" spans="1:10" ht="12.75">
      <c r="A20" s="132" t="s">
        <v>198</v>
      </c>
      <c r="B20" s="133"/>
      <c r="C20" s="133"/>
      <c r="D20" s="133"/>
      <c r="E20" s="134"/>
      <c r="F20" s="66" t="s">
        <v>210</v>
      </c>
      <c r="G20" s="66" t="s">
        <v>211</v>
      </c>
      <c r="H20" s="66" t="s">
        <v>212</v>
      </c>
      <c r="I20" s="66" t="s">
        <v>210</v>
      </c>
      <c r="J20" s="33"/>
    </row>
    <row r="21" spans="1:10" ht="12.75">
      <c r="A21" s="135" t="s">
        <v>182</v>
      </c>
      <c r="B21" s="136"/>
      <c r="C21" s="136"/>
      <c r="D21" s="136"/>
      <c r="E21" s="137"/>
      <c r="F21" s="70"/>
      <c r="G21" s="67">
        <v>1.5</v>
      </c>
      <c r="H21" s="67">
        <f>'Krycí list rozpočtu'!C22</f>
        <v>0</v>
      </c>
      <c r="I21" s="67">
        <f>(G21/100)*H21</f>
        <v>0</v>
      </c>
      <c r="J21" s="32"/>
    </row>
    <row r="22" spans="1:10" ht="12.75">
      <c r="A22" s="135" t="s">
        <v>183</v>
      </c>
      <c r="B22" s="136"/>
      <c r="C22" s="136"/>
      <c r="D22" s="136"/>
      <c r="E22" s="137"/>
      <c r="F22" s="67"/>
      <c r="G22" s="70"/>
      <c r="H22" s="70"/>
      <c r="I22" s="67">
        <f>F22</f>
        <v>0</v>
      </c>
      <c r="J22" s="32"/>
    </row>
    <row r="23" spans="1:10" ht="12.75">
      <c r="A23" s="135" t="s">
        <v>184</v>
      </c>
      <c r="B23" s="136"/>
      <c r="C23" s="136"/>
      <c r="D23" s="136"/>
      <c r="E23" s="137"/>
      <c r="F23" s="67">
        <v>0</v>
      </c>
      <c r="G23" s="70"/>
      <c r="H23" s="70"/>
      <c r="I23" s="67">
        <f>F23</f>
        <v>0</v>
      </c>
      <c r="J23" s="32"/>
    </row>
    <row r="24" spans="1:10" ht="12.75">
      <c r="A24" s="135" t="s">
        <v>185</v>
      </c>
      <c r="B24" s="136"/>
      <c r="C24" s="136"/>
      <c r="D24" s="136"/>
      <c r="E24" s="137"/>
      <c r="F24" s="67">
        <v>0</v>
      </c>
      <c r="G24" s="70"/>
      <c r="H24" s="70"/>
      <c r="I24" s="67">
        <f>F24</f>
        <v>0</v>
      </c>
      <c r="J24" s="32"/>
    </row>
    <row r="25" spans="1:10" ht="12.75">
      <c r="A25" s="135" t="s">
        <v>213</v>
      </c>
      <c r="B25" s="136"/>
      <c r="C25" s="136"/>
      <c r="D25" s="136"/>
      <c r="E25" s="137"/>
      <c r="F25" s="67">
        <v>100000</v>
      </c>
      <c r="G25" s="150" t="s">
        <v>214</v>
      </c>
      <c r="H25" s="70"/>
      <c r="I25" s="67">
        <f>F25</f>
        <v>100000</v>
      </c>
      <c r="J25" s="32"/>
    </row>
    <row r="26" spans="1:10" ht="12.75">
      <c r="A26" s="138" t="s">
        <v>187</v>
      </c>
      <c r="B26" s="139"/>
      <c r="C26" s="139"/>
      <c r="D26" s="139"/>
      <c r="E26" s="140"/>
      <c r="F26" s="68">
        <v>0</v>
      </c>
      <c r="G26" s="71"/>
      <c r="H26" s="71"/>
      <c r="I26" s="68">
        <f>F26</f>
        <v>0</v>
      </c>
      <c r="J26" s="32"/>
    </row>
    <row r="27" spans="1:10" ht="12.75">
      <c r="A27" s="141" t="s">
        <v>204</v>
      </c>
      <c r="B27" s="142"/>
      <c r="C27" s="142"/>
      <c r="D27" s="142"/>
      <c r="E27" s="143"/>
      <c r="F27" s="69"/>
      <c r="G27" s="72"/>
      <c r="H27" s="72"/>
      <c r="I27" s="73">
        <f>SUM(I21:I26)</f>
        <v>100000</v>
      </c>
      <c r="J27" s="33"/>
    </row>
    <row r="28" spans="1:9" ht="12.75">
      <c r="A28" s="64"/>
      <c r="B28" s="64"/>
      <c r="C28" s="64"/>
      <c r="D28" s="64"/>
      <c r="E28" s="64"/>
      <c r="F28" s="64"/>
      <c r="G28" s="64"/>
      <c r="H28" s="64"/>
      <c r="I28" s="64"/>
    </row>
    <row r="29" spans="1:10" ht="15" customHeight="1">
      <c r="A29" s="144" t="s">
        <v>205</v>
      </c>
      <c r="B29" s="145"/>
      <c r="C29" s="145"/>
      <c r="D29" s="145"/>
      <c r="E29" s="146"/>
      <c r="F29" s="147">
        <f>I18+I27</f>
        <v>100000</v>
      </c>
      <c r="G29" s="148"/>
      <c r="H29" s="148"/>
      <c r="I29" s="149"/>
      <c r="J29" s="33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3" spans="1:9" ht="15" customHeight="1">
      <c r="A33" s="130" t="s">
        <v>206</v>
      </c>
      <c r="B33" s="131"/>
      <c r="C33" s="131"/>
      <c r="D33" s="131"/>
      <c r="E33" s="131"/>
      <c r="F33" s="65"/>
      <c r="G33" s="65"/>
      <c r="H33" s="65"/>
      <c r="I33" s="65"/>
    </row>
    <row r="34" spans="1:10" ht="12.75">
      <c r="A34" s="132" t="s">
        <v>207</v>
      </c>
      <c r="B34" s="133"/>
      <c r="C34" s="133"/>
      <c r="D34" s="133"/>
      <c r="E34" s="134"/>
      <c r="F34" s="66" t="s">
        <v>210</v>
      </c>
      <c r="G34" s="66" t="s">
        <v>211</v>
      </c>
      <c r="H34" s="66" t="s">
        <v>212</v>
      </c>
      <c r="I34" s="66" t="s">
        <v>210</v>
      </c>
      <c r="J34" s="33"/>
    </row>
    <row r="35" spans="1:10" ht="12.75">
      <c r="A35" s="138"/>
      <c r="B35" s="139"/>
      <c r="C35" s="139"/>
      <c r="D35" s="139"/>
      <c r="E35" s="140"/>
      <c r="F35" s="68">
        <v>0</v>
      </c>
      <c r="G35" s="71"/>
      <c r="H35" s="71"/>
      <c r="I35" s="68">
        <f>F35</f>
        <v>0</v>
      </c>
      <c r="J35" s="32"/>
    </row>
    <row r="36" spans="1:10" ht="12.75">
      <c r="A36" s="141" t="s">
        <v>208</v>
      </c>
      <c r="B36" s="142"/>
      <c r="C36" s="142"/>
      <c r="D36" s="142"/>
      <c r="E36" s="143"/>
      <c r="F36" s="69"/>
      <c r="G36" s="72"/>
      <c r="H36" s="72"/>
      <c r="I36" s="73">
        <f>SUM(I35:I35)</f>
        <v>0</v>
      </c>
      <c r="J36" s="33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2017-09-01T05:23:09Z</dcterms:created>
  <dcterms:modified xsi:type="dcterms:W3CDTF">2017-09-01T05:23:09Z</dcterms:modified>
  <cp:category/>
  <cp:version/>
  <cp:contentType/>
  <cp:contentStatus/>
</cp:coreProperties>
</file>