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Krycí list rozpočtu" sheetId="1" r:id="rId1"/>
    <sheet name="Stavební rozpočet" sheetId="2" r:id="rId2"/>
  </sheets>
  <definedNames/>
  <calcPr fullCalcOnLoad="1"/>
</workbook>
</file>

<file path=xl/sharedStrings.xml><?xml version="1.0" encoding="utf-8"?>
<sst xmlns="http://schemas.openxmlformats.org/spreadsheetml/2006/main" count="543" uniqueCount="285">
  <si>
    <t>Název stavby:</t>
  </si>
  <si>
    <t>Druh stavby:</t>
  </si>
  <si>
    <t>Lokalita:</t>
  </si>
  <si>
    <t>Začátek výstavby:</t>
  </si>
  <si>
    <t>JKSO:</t>
  </si>
  <si>
    <t>Rozpočtové náklady v Kč</t>
  </si>
  <si>
    <t>A</t>
  </si>
  <si>
    <t>HSV</t>
  </si>
  <si>
    <t>PSV</t>
  </si>
  <si>
    <t>"M"</t>
  </si>
  <si>
    <t>Ostatní materiál</t>
  </si>
  <si>
    <t>Přesun hmot a sutí</t>
  </si>
  <si>
    <t>ZRN celkem</t>
  </si>
  <si>
    <t>Základ 0%</t>
  </si>
  <si>
    <t>Základ 15%</t>
  </si>
  <si>
    <t>Základ 21%</t>
  </si>
  <si>
    <t>Projektant</t>
  </si>
  <si>
    <t>Datum, razítko a podpis</t>
  </si>
  <si>
    <t>Poznámka:</t>
  </si>
  <si>
    <t>Základní rozpočtové náklady</t>
  </si>
  <si>
    <t>Dodávky</t>
  </si>
  <si>
    <t>Montáž</t>
  </si>
  <si>
    <t>Krycí list slepého rozpočtu</t>
  </si>
  <si>
    <t>ZŠ Školní 1480/61, Chomutov - 1.PP, 3.NP</t>
  </si>
  <si>
    <t>Zařízení silnoproudé elektrotechniky</t>
  </si>
  <si>
    <t>Ústecký kraj, okr. Chomutov</t>
  </si>
  <si>
    <t>B</t>
  </si>
  <si>
    <t>Práce přesčas</t>
  </si>
  <si>
    <t>Bez pevné podl.</t>
  </si>
  <si>
    <t>Kulturní památka</t>
  </si>
  <si>
    <t>DN celkem</t>
  </si>
  <si>
    <t>DN celkem z obj.</t>
  </si>
  <si>
    <t>DPH 15%</t>
  </si>
  <si>
    <t>DPH 21%</t>
  </si>
  <si>
    <t>Objednatel</t>
  </si>
  <si>
    <t>Objednatel:</t>
  </si>
  <si>
    <t>Projektant:</t>
  </si>
  <si>
    <t>Zhotovitel:</t>
  </si>
  <si>
    <t>Konec výstavby:</t>
  </si>
  <si>
    <t>Zpracoval:</t>
  </si>
  <si>
    <t>Doplňkové náklady</t>
  </si>
  <si>
    <t>Libor Slavík</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</si>
  <si>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</si>
  <si>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</si>
  <si>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</si>
  <si>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</si>
  <si>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</si>
  <si>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</si>
  <si>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</si>
  <si>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</si>
  <si>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</si>
  <si>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</si>
  <si>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</si>
  <si>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</si>
  <si>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</si>
  <si>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</si>
  <si>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</si>
  <si>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</si>
  <si>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</si>
  <si>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</si>
  <si>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41</t>
  </si>
  <si>
    <t>Slepý stavební rozpočet</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</si>
  <si>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</si>
  <si>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</si>
  <si>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</si>
  <si>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</si>
  <si>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</si>
  <si>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</si>
  <si>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</si>
  <si>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</si>
  <si>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</si>
  <si>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</si>
  <si>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</si>
  <si>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</si>
  <si>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</si>
  <si>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</si>
  <si>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</si>
  <si>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</si>
  <si>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</si>
  <si>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</si>
  <si>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</si>
  <si>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</si>
  <si>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</si>
  <si>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</si>
  <si>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</si>
  <si>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</si>
  <si>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</si>
  <si>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</si>
  <si>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</si>
  <si>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</si>
  <si>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</si>
  <si>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</si>
  <si>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</si>
  <si>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</si>
  <si>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</si>
  <si>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</si>
  <si>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</si>
  <si>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</si>
  <si>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</si>
  <si>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</si>
  <si>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</si>
  <si>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</si>
  <si>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</si>
  <si>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</si>
  <si>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Objekt</t>
  </si>
  <si>
    <t>Kód</t>
  </si>
  <si>
    <t>210VD</t>
  </si>
  <si>
    <t>21000000000001VD</t>
  </si>
  <si>
    <t>61</t>
  </si>
  <si>
    <t>612420016RAA</t>
  </si>
  <si>
    <t>784</t>
  </si>
  <si>
    <t>784165622R00</t>
  </si>
  <si>
    <t>RTS komentář:</t>
  </si>
  <si>
    <t>97</t>
  </si>
  <si>
    <t>973032616R00</t>
  </si>
  <si>
    <t>979092111R00</t>
  </si>
  <si>
    <t>974031121R00</t>
  </si>
  <si>
    <t>974031134R00</t>
  </si>
  <si>
    <t>M</t>
  </si>
  <si>
    <t>204      R00</t>
  </si>
  <si>
    <t>141      R00</t>
  </si>
  <si>
    <t>M21</t>
  </si>
  <si>
    <t>210010311RT3</t>
  </si>
  <si>
    <t>210010351RT1</t>
  </si>
  <si>
    <t>210110041RT6</t>
  </si>
  <si>
    <t>210110021RT1</t>
  </si>
  <si>
    <t>210110045RT6</t>
  </si>
  <si>
    <t>210111113RT1</t>
  </si>
  <si>
    <t>210111031RT2</t>
  </si>
  <si>
    <t>210111014RT7</t>
  </si>
  <si>
    <t>210010021RT1</t>
  </si>
  <si>
    <t>210010023RT1</t>
  </si>
  <si>
    <t>210810057RT2</t>
  </si>
  <si>
    <t>210810016RT1</t>
  </si>
  <si>
    <t>210810046RT3</t>
  </si>
  <si>
    <t>210810045RT1</t>
  </si>
  <si>
    <t>210800125RT1</t>
  </si>
  <si>
    <t>210201067R00</t>
  </si>
  <si>
    <t>211200101R00</t>
  </si>
  <si>
    <t>210201001R00</t>
  </si>
  <si>
    <t>M210VD</t>
  </si>
  <si>
    <t>21000000000000VD</t>
  </si>
  <si>
    <t>M211VD</t>
  </si>
  <si>
    <t>21100000000001VD</t>
  </si>
  <si>
    <t>M22</t>
  </si>
  <si>
    <t>220261664R00</t>
  </si>
  <si>
    <t>220261665R00</t>
  </si>
  <si>
    <t>S</t>
  </si>
  <si>
    <t>979087028R00</t>
  </si>
  <si>
    <t>979095131R00</t>
  </si>
  <si>
    <t>34531510</t>
  </si>
  <si>
    <t>40300151VD</t>
  </si>
  <si>
    <t>403VD</t>
  </si>
  <si>
    <t>4031VD</t>
  </si>
  <si>
    <t>4032VD</t>
  </si>
  <si>
    <t>4033VD</t>
  </si>
  <si>
    <t>21255VD</t>
  </si>
  <si>
    <t>21256VD</t>
  </si>
  <si>
    <t>Zkrácený popis / Varianta</t>
  </si>
  <si>
    <t>Rozměry</t>
  </si>
  <si>
    <t>Nezařazeno</t>
  </si>
  <si>
    <t>Elektrommontáže</t>
  </si>
  <si>
    <t>Montáž pohybového čidla</t>
  </si>
  <si>
    <t>Úprava povrchů vnitřní</t>
  </si>
  <si>
    <t>Omítka stěn vnitřní vápenocementová štuková</t>
  </si>
  <si>
    <t>montáž a demontáž pomocného lešení</t>
  </si>
  <si>
    <t>Malby</t>
  </si>
  <si>
    <t>Malba HET Brillant 100, barva, bez penetrace,2x</t>
  </si>
  <si>
    <t>Univerzální zářivě bílá matná disperzní barva k okamžitému použití do vnitřních prostor, plně omyvatelná, vysoce odolná vůči otěru za mokra, vodouředitelná, rychleschnoucí, doporučovaná při požadavcích na vysokou odolnost nátěru (koupelny, kuchyně atd.). Bez vyspravení sádrou. Styk dvou barev se oceňuje položkou 784 43 - 9001 této části sborníku.</t>
  </si>
  <si>
    <t>Prorážení otvorů a ostatní bourací práce</t>
  </si>
  <si>
    <t>Vysekání kapes cih. duté špalík, krabice 10x10x5cm</t>
  </si>
  <si>
    <t>V položce není kalkulována manipulace se sutí, která se oceňuje samostatně položkami souboru 979.</t>
  </si>
  <si>
    <t>Vyklizení ulehlé suti z pl.do 15 m2/ hl. 2 m-ručně</t>
  </si>
  <si>
    <t>Vysekání rýh ve zdi cihelné 3 x 3 cm</t>
  </si>
  <si>
    <t>Položka platí pro zdivo na jakoukoliv maltu vápennou nebo vápenocementovou, V položce není kalkulována manipulace se sutí, která se oceňuje samostatně položkami souboru 979.</t>
  </si>
  <si>
    <t>Vysekání rýh ve zdi cihelné 5 x 15 cm</t>
  </si>
  <si>
    <t>Montážní přirážky</t>
  </si>
  <si>
    <t>Zednické výpomoci M 21 podle čl.13-5b</t>
  </si>
  <si>
    <t>Přirážka je určena k ocenění přidružených výkonů a podílu prací jiných profesí při oceňování podle  - ceníku M 21 (včetně R-položek) těchto prací: a) provozní rozvody ve stavebních objektech (např. objekty oboru 803 - budovy pro bydlení, oboru 801-budovy, občanská výstzavba apod.) b) hromosvody c) uzemnění v zemi (vně i uvnitř budovy).  Touto přirážkou jsou kryty náklady na: a) vynechání nebo vysekání rýh, kapes a prostupů pro rozvody a upevňovací prvky (špalíky, latě, objímky, závěsy, konzoly) do velikostí: rýhy o průřezu 3x3 až 7x3 cm, kapsy pro špalíky a krabice do 7x7x5 cm, prostupy průřezu do 0,01 m2; ve zdivu cihelném, nebo ve zdivu z tvárnic a to i když nejsou zakresleny v projektu b) zaplnění nebo zazdění rýh, kapes, jejichž kubatura se neodečítá od kubatury zdiva (zaplnění nebo zazdění rýh, kapes, jejichž kubatura se odečítá od kubatury zdiva se</t>
  </si>
  <si>
    <t>rozpočtuje samostatnými položkami) c) dodání, osazení, zazdění, zabetonování a zalití špalíků a latí d) dodání, osazení, zabetonování a zalití objímek, závěsů a konzol e) vynechání nebo vysekání nik pro rozvaděče a pro stoupací, průchozí a jiné manipulační skříně f) osazení, zazdění nebo zabetonování stoupacích, průchozích a jiných manipulačních skříní g) zazdění nebo zabetonování prostupů ve zdech a stropech.  Základnu pro použití sazeb tvoří náklady určené pomocí ceníkových položek, popř. R-položek vč. nosného a podružného materiálu.  Pokud je potřeba připevňovat prvky nastřelováním nebo pomocí hmoždinek, rozpočtují se podle ceníku 801-1 a 801-4.</t>
  </si>
  <si>
    <t>Přirážka za podružný materiál  M 21, M 22</t>
  </si>
  <si>
    <t>Procentní sazba z hodnoty nosného materiálu.</t>
  </si>
  <si>
    <t>Elektromontáže</t>
  </si>
  <si>
    <t>Krabice univerzální KU, bez zapojení, kruhová</t>
  </si>
  <si>
    <t>včetně dodávky KU 68-1901 bez víčka</t>
  </si>
  <si>
    <t>Montáž do připraveného lůžka. Zhotovení otvorů pro trubky, nebo vodiče. Bez zapojení.</t>
  </si>
  <si>
    <t>Rozvodka krabicová z lis. izol. 6455-11 do 4 mm2</t>
  </si>
  <si>
    <t>včetně dodávky krabice 6455-11</t>
  </si>
  <si>
    <t>Spínač zapuštěný jednopólový, řazení 1</t>
  </si>
  <si>
    <t>vč. dodávky strojku, rámečku a krytu</t>
  </si>
  <si>
    <t>Strojek s bezšroubovými svorkami. Rámeček a kryt Tango.</t>
  </si>
  <si>
    <t>Spínač nástěnný jednopól.- řaz. 1, venkovní</t>
  </si>
  <si>
    <t>včetně dodávky spínače 3558-01750</t>
  </si>
  <si>
    <t>design Garant</t>
  </si>
  <si>
    <t>Spínač zapuštěný střídavý, řazení 6</t>
  </si>
  <si>
    <t>Zásuvka průmyslová IP 67  3P+PE  16 A</t>
  </si>
  <si>
    <t>včetně dodávky zásuvky IZG 1643</t>
  </si>
  <si>
    <t>Zásuvka domovní v krabici - 2P+PE, venkovní</t>
  </si>
  <si>
    <t>včetně dodávky zásuvky 5518-2929</t>
  </si>
  <si>
    <t>Zásuvka domovní zapuštěná - provedení 2x (2P+PE)</t>
  </si>
  <si>
    <t>včetně dodávky zásuvky s natočenou dutin.a rámečku</t>
  </si>
  <si>
    <t>série Tango</t>
  </si>
  <si>
    <t>Trubka tuhá z PVC uložená pevně, 16 mm</t>
  </si>
  <si>
    <t>včetně dodávky trubky 1516</t>
  </si>
  <si>
    <t>Trubka tuhá z PVC uložená pevně, 29 mm</t>
  </si>
  <si>
    <t>včetně dodávky trubky 1532</t>
  </si>
  <si>
    <t>Kabel CYKY-m 750 V 5 žil 4 až 16 mm pevně uložený</t>
  </si>
  <si>
    <t>včetně dodávky kabelu 5x6 mm2</t>
  </si>
  <si>
    <t>Kabel CYKY-m 750 V 5 x 2,5 mm2 volně uložený</t>
  </si>
  <si>
    <t>včetně dodávky kabelu</t>
  </si>
  <si>
    <t>Kabel CYKY-m 750 V 3 x 2,5 mm2 pevně uložený</t>
  </si>
  <si>
    <t>Kabel CYKY-m 750 V 3 x 1,5 mm2 pevně uložený</t>
  </si>
  <si>
    <t>Kabel CYKY 750 V 3x1,5 mm2 pod omítkou stropu</t>
  </si>
  <si>
    <t>Svítidlo zářivkové 3310740 2x40 W prům.stropní</t>
  </si>
  <si>
    <t>Svítidlo nouzové orientační NOO 1/MM</t>
  </si>
  <si>
    <t>Svítidlo zářivkové 2312001, 2x40 W, stropní</t>
  </si>
  <si>
    <t>Demontážní práce</t>
  </si>
  <si>
    <t>Revize elektro</t>
  </si>
  <si>
    <t>Montáže sdělovací a zabezpečovací techniky</t>
  </si>
  <si>
    <t>Zazdění drážky</t>
  </si>
  <si>
    <t>Začištění drážky, konečná úprava</t>
  </si>
  <si>
    <t>Přesuny sutí</t>
  </si>
  <si>
    <t>Odvoz na skládku PH, příplatek za dalších 5 km</t>
  </si>
  <si>
    <t>Doprava hmot, jízda přívěsného vozíku</t>
  </si>
  <si>
    <t>Čidlo pohybu IR28B PROFI krytí IP20 stropní</t>
  </si>
  <si>
    <t>Slouží k automatickému spínání osvětlení po narušení detekčního pole v horizontální i vertikální rovině (uvnitř jsou 3 sensory). Vnitřní zapojení s ochranou proudových nárazů při spínání kapacitních zátěží zvyšuje odolnost kontaktů použitého relé. Je vhodný do míst, kde hlavním požadavkem je větší počet spínání osvětlení (schodiště, chodby, průmyslové objekty).  TECHNICKÉ PARAMETRY  Napájení 230 V/ 50 Hz  Zátěž 3680 W (max.16A)  Detekční úhel 360°  Detekční vzdálenost max. 12 m  Nastavitelný čas 5 s až 10 min.  Citlivost na světlo &lt; 3 Lux až 1000 Lux  Stupeň krytí IP 20  Instalační výška &gt; 2,2 m  Pracovní teplota 0°C až +40°C  Výrobce: Elektrobock  057752Kód produktu: 8594012220935EAN:</t>
  </si>
  <si>
    <t>Prolumia 40300151 LED Pro Aqua highoutput, 157CM</t>
  </si>
  <si>
    <t>Prolumia  Pro Office 1200x300</t>
  </si>
  <si>
    <t>MODUS AREL4000AS4</t>
  </si>
  <si>
    <t>AWEX LV2U/2W/C LV2U/2W/C</t>
  </si>
  <si>
    <t>AWEX LV2R/2W/C LV2R/2W/C</t>
  </si>
  <si>
    <t>Rozvaděč RPS31 - komplet vč. montáže</t>
  </si>
  <si>
    <t>Rozvaděč RPS02 - komplet vč. montáže</t>
  </si>
  <si>
    <t>Doba výstavby:</t>
  </si>
  <si>
    <t>Zpracováno dne:</t>
  </si>
  <si>
    <t>M.j.</t>
  </si>
  <si>
    <t>ks</t>
  </si>
  <si>
    <t>m2</t>
  </si>
  <si>
    <t>kus</t>
  </si>
  <si>
    <t>m3</t>
  </si>
  <si>
    <t>m</t>
  </si>
  <si>
    <t>%</t>
  </si>
  <si>
    <t>kpl</t>
  </si>
  <si>
    <t>h</t>
  </si>
  <si>
    <t>t</t>
  </si>
  <si>
    <t>km</t>
  </si>
  <si>
    <t>KS</t>
  </si>
  <si>
    <t>Množství</t>
  </si>
  <si>
    <t>Jednot.</t>
  </si>
  <si>
    <t>cena (Kč)</t>
  </si>
  <si>
    <t>Náklady (Kč)</t>
  </si>
  <si>
    <t>Dodávka</t>
  </si>
  <si>
    <t>Celkem:</t>
  </si>
  <si>
    <t>Celkem</t>
  </si>
  <si>
    <t>Hmotnost (t)</t>
  </si>
  <si>
    <t>Cenová</t>
  </si>
  <si>
    <t>soustava</t>
  </si>
  <si>
    <t>RTS II / 2016</t>
  </si>
  <si>
    <t>Přesuny</t>
  </si>
  <si>
    <t>Typ skupiny</t>
  </si>
  <si>
    <t>HSV mat</t>
  </si>
  <si>
    <t>HSV prac</t>
  </si>
  <si>
    <t>PSV mat</t>
  </si>
  <si>
    <t>PSV prac</t>
  </si>
  <si>
    <t>Mont mat</t>
  </si>
  <si>
    <t>Mont prac</t>
  </si>
  <si>
    <t>Ostatní mat.</t>
  </si>
  <si>
    <t>0</t>
  </si>
  <si>
    <t>210VD_</t>
  </si>
  <si>
    <t>61_</t>
  </si>
  <si>
    <t>784_</t>
  </si>
  <si>
    <t>97_</t>
  </si>
  <si>
    <t>M_</t>
  </si>
  <si>
    <t>M21_</t>
  </si>
  <si>
    <t>M210VD_</t>
  </si>
  <si>
    <t>M211VD_</t>
  </si>
  <si>
    <t>M22_</t>
  </si>
  <si>
    <t>S_</t>
  </si>
  <si>
    <t>Z99999_</t>
  </si>
  <si>
    <t>_2_</t>
  </si>
  <si>
    <t>_6_</t>
  </si>
  <si>
    <t>_78_</t>
  </si>
  <si>
    <t>_9_</t>
  </si>
  <si>
    <t>_Z_</t>
  </si>
  <si>
    <t>_</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</si>
</sst>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sz val="10"/>
      <color indexed="8"/>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i/>
      <sz val="8"/>
      <color indexed="8"/>
      <name val="Arial"/>
      <family val="0"/>
    </font>
    <font>
      <b/>
      <sz val="11"/>
      <color indexed="8"/>
      <name val="Arial"/>
      <family val="0"/>
    </font>
    <font>
      <sz val="24"/>
      <color indexed="8"/>
      <name val="Arial"/>
      <family val="0"/>
    </font>
    <font>
      <b/>
      <sz val="10"/>
      <color indexed="8"/>
      <name val="Arial"/>
      <family val="0"/>
    </font>
    <font>
      <sz val="18"/>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b/>
      <sz val="10"/>
      <color indexed="54"/>
      <name val="Arial"/>
      <family val="0"/>
    </font>
    <font>
      <b/>
      <sz val="10"/>
      <color indexed="56"/>
      <name val="Arial"/>
      <family val="0"/>
    </font>
    <font>
      <i/>
      <sz val="10"/>
      <color indexed="58"/>
      <name val="Arial"/>
      <family val="0"/>
    </font>
    <font>
      <sz val="10"/>
      <color indexed="59"/>
      <name val="Arial"/>
      <family val="0"/>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7"/>
        <bgColor indexed="64"/>
      </patternFill>
    </fill>
  </fills>
  <borders count="41">
    <border>
      <left/>
      <right/>
      <top/>
      <bottom/>
      <diagonal/>
    </border>
    <border>
      <left/>
      <right/>
      <top/>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thin"/>
      <top style="thin"/>
      <bottom style="thin"/>
    </border>
    <border>
      <left/>
      <right/>
      <top/>
      <bottom style="medium"/>
    </border>
    <border>
      <left/>
      <right style="thin"/>
      <top style="thin"/>
      <bottom/>
    </border>
    <border>
      <left/>
      <right style="medium"/>
      <top style="medium"/>
      <bottom/>
    </border>
    <border>
      <left/>
      <right style="medium"/>
      <top/>
      <bottom/>
    </border>
    <border>
      <left/>
      <right style="medium"/>
      <top/>
      <bottom style="medium"/>
    </border>
    <border>
      <left style="thin"/>
      <right style="thin"/>
      <top style="thin"/>
      <bottom style="medium"/>
    </border>
    <border>
      <left/>
      <right style="thin"/>
      <top style="medium"/>
      <bottom/>
    </border>
    <border>
      <left/>
      <right style="thin"/>
      <top/>
      <bottom/>
    </border>
    <border>
      <left/>
      <right style="thin"/>
      <top/>
      <bottom style="thin"/>
    </border>
    <border>
      <left style="thin"/>
      <right/>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top style="medium"/>
      <bottom style="thin"/>
    </border>
    <border>
      <left style="medium"/>
      <right style="thin"/>
      <top style="thin"/>
      <bottom style="medium"/>
    </border>
    <border>
      <left/>
      <right/>
      <top style="medium"/>
      <bottom style="thin"/>
    </border>
    <border>
      <left/>
      <right style="medium"/>
      <top style="medium"/>
      <bottom style="thin"/>
    </border>
    <border>
      <left style="thin"/>
      <right style="medium"/>
      <top style="thin"/>
      <bottom style="medium"/>
    </border>
    <border>
      <left/>
      <right style="thin"/>
      <top/>
      <bottom style="medium"/>
    </border>
    <border>
      <left style="medium"/>
      <right style="medium"/>
      <top style="medium"/>
      <bottom/>
    </border>
    <border>
      <left style="medium"/>
      <right style="medium"/>
      <top/>
      <bottom style="mediu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15">
    <xf numFmtId="0" fontId="1" fillId="0" borderId="0" xfId="0" applyAlignment="1">
      <alignment vertical="center"/>
    </xf>
    <xf numFmtId="0" fontId="1" fillId="0" borderId="0" xfId="0" applyNumberFormat="1" applyFont="1" applyFill="1" applyBorder="1" applyAlignment="1" applyProtection="1">
      <alignment vertical="center"/>
      <protection locked="0"/>
    </xf>
    <xf numFmtId="0" fontId="1" fillId="0" borderId="1" xfId="0" applyNumberFormat="1" applyFont="1" applyFill="1" applyBorder="1" applyAlignment="1" applyProtection="1">
      <alignment vertical="center"/>
      <protection/>
    </xf>
    <xf numFmtId="0" fontId="1" fillId="0" borderId="2"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left" vertical="center"/>
      <protection/>
    </xf>
    <xf numFmtId="49" fontId="2" fillId="0" borderId="5" xfId="0" applyNumberFormat="1" applyFont="1" applyFill="1" applyBorder="1" applyAlignment="1" applyProtection="1">
      <alignment horizontal="center" vertical="center"/>
      <protection/>
    </xf>
    <xf numFmtId="49" fontId="3" fillId="2" borderId="6" xfId="0" applyNumberFormat="1" applyFont="1" applyFill="1" applyBorder="1" applyAlignment="1" applyProtection="1">
      <alignment horizontal="center" vertical="center"/>
      <protection/>
    </xf>
    <xf numFmtId="49" fontId="4" fillId="0" borderId="7"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49" fontId="4" fillId="2" borderId="9"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vertical="center"/>
      <protection/>
    </xf>
    <xf numFmtId="49" fontId="5" fillId="0" borderId="12" xfId="0" applyNumberFormat="1" applyFont="1" applyFill="1" applyBorder="1" applyAlignment="1" applyProtection="1">
      <alignment horizontal="left" vertical="center"/>
      <protection/>
    </xf>
    <xf numFmtId="49" fontId="5" fillId="0" borderId="13" xfId="0" applyNumberFormat="1" applyFont="1" applyFill="1" applyBorder="1" applyAlignment="1" applyProtection="1">
      <alignment horizontal="left" vertical="center"/>
      <protection/>
    </xf>
    <xf numFmtId="49" fontId="5" fillId="0" borderId="14" xfId="0" applyNumberFormat="1" applyFont="1" applyFill="1" applyBorder="1" applyAlignment="1" applyProtection="1">
      <alignment horizontal="left" vertical="center"/>
      <protection/>
    </xf>
    <xf numFmtId="49" fontId="6" fillId="0" borderId="15"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1" xfId="0" applyNumberFormat="1" applyFont="1" applyFill="1" applyBorder="1" applyAlignment="1" applyProtection="1">
      <alignment horizontal="left" vertical="center"/>
      <protection/>
    </xf>
    <xf numFmtId="0" fontId="2" fillId="0" borderId="5" xfId="0" applyNumberFormat="1" applyFont="1" applyFill="1" applyBorder="1" applyAlignment="1" applyProtection="1">
      <alignment horizontal="center" vertical="center"/>
      <protection/>
    </xf>
    <xf numFmtId="49" fontId="7" fillId="0" borderId="9" xfId="0" applyNumberFormat="1" applyFont="1" applyFill="1" applyBorder="1" applyAlignment="1" applyProtection="1">
      <alignment horizontal="left" vertical="center"/>
      <protection/>
    </xf>
    <xf numFmtId="49" fontId="5" fillId="0" borderId="6"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2" borderId="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0" fontId="8" fillId="0" borderId="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protection/>
    </xf>
    <xf numFmtId="4" fontId="5" fillId="0" borderId="6" xfId="0" applyNumberFormat="1" applyFont="1" applyFill="1" applyBorder="1" applyAlignment="1" applyProtection="1">
      <alignment horizontal="right" vertical="center"/>
      <protection/>
    </xf>
    <xf numFmtId="49" fontId="5" fillId="0" borderId="6" xfId="0" applyNumberFormat="1" applyFont="1" applyFill="1" applyBorder="1" applyAlignment="1" applyProtection="1">
      <alignment horizontal="right" vertical="center"/>
      <protection/>
    </xf>
    <xf numFmtId="4" fontId="5" fillId="0" borderId="22"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9" fontId="1" fillId="0" borderId="0"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1" fillId="0" borderId="24" xfId="0" applyNumberFormat="1" applyFont="1" applyFill="1" applyBorder="1" applyAlignment="1" applyProtection="1">
      <alignment horizontal="left" vertical="center"/>
      <protection/>
    </xf>
    <xf numFmtId="14" fontId="1" fillId="0" borderId="24" xfId="0" applyNumberFormat="1" applyFont="1" applyFill="1" applyBorder="1" applyAlignment="1" applyProtection="1">
      <alignment horizontal="left" vertical="center"/>
      <protection/>
    </xf>
    <xf numFmtId="0" fontId="1" fillId="0" borderId="25"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vertical="center"/>
      <protection/>
    </xf>
    <xf numFmtId="0" fontId="1" fillId="0" borderId="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 fontId="4" fillId="2" borderId="16" xfId="0" applyNumberFormat="1" applyFont="1" applyFill="1" applyBorder="1" applyAlignment="1" applyProtection="1">
      <alignment horizontal="right" vertical="center"/>
      <protection/>
    </xf>
    <xf numFmtId="49" fontId="10" fillId="0" borderId="1"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left" vertical="center"/>
      <protection/>
    </xf>
    <xf numFmtId="49" fontId="9" fillId="0" borderId="27" xfId="0" applyNumberFormat="1" applyFont="1" applyFill="1" applyBorder="1" applyAlignment="1" applyProtection="1">
      <alignment horizontal="left" vertical="center"/>
      <protection/>
    </xf>
    <xf numFmtId="49" fontId="1" fillId="0" borderId="28" xfId="0" applyNumberFormat="1" applyFont="1" applyFill="1" applyBorder="1" applyAlignment="1" applyProtection="1">
      <alignment horizontal="left" vertical="center"/>
      <protection/>
    </xf>
    <xf numFmtId="49" fontId="11" fillId="3" borderId="15" xfId="0" applyNumberFormat="1" applyFont="1" applyFill="1" applyBorder="1" applyAlignment="1" applyProtection="1">
      <alignment horizontal="left" vertical="center"/>
      <protection/>
    </xf>
    <xf numFmtId="49" fontId="12" fillId="4" borderId="0"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vertical="center"/>
      <protection/>
    </xf>
    <xf numFmtId="49" fontId="14" fillId="0" borderId="0" xfId="0" applyNumberFormat="1" applyFont="1" applyFill="1" applyBorder="1" applyAlignment="1" applyProtection="1">
      <alignment horizontal="left" vertical="center"/>
      <protection/>
    </xf>
    <xf numFmtId="49" fontId="14" fillId="0" borderId="1"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10" fillId="0" borderId="1"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left" vertical="center"/>
      <protection/>
    </xf>
    <xf numFmtId="49" fontId="9" fillId="0" borderId="29" xfId="0" applyNumberFormat="1" applyFont="1" applyFill="1" applyBorder="1" applyAlignment="1" applyProtection="1">
      <alignment horizontal="left" vertical="center"/>
      <protection/>
    </xf>
    <xf numFmtId="49" fontId="1" fillId="0" borderId="30" xfId="0" applyNumberFormat="1" applyFont="1" applyFill="1" applyBorder="1" applyAlignment="1" applyProtection="1">
      <alignment horizontal="left" vertical="center"/>
      <protection/>
    </xf>
    <xf numFmtId="49" fontId="15" fillId="3" borderId="15" xfId="0" applyNumberFormat="1" applyFont="1" applyFill="1" applyBorder="1" applyAlignment="1" applyProtection="1">
      <alignment horizontal="left" vertical="center"/>
      <protection/>
    </xf>
    <xf numFmtId="49" fontId="16" fillId="4" borderId="0"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right" vertical="top"/>
      <protection/>
    </xf>
    <xf numFmtId="49" fontId="9" fillId="0" borderId="3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left" vertical="top" wrapText="1"/>
      <protection/>
    </xf>
    <xf numFmtId="49" fontId="1" fillId="0" borderId="10" xfId="0" applyNumberFormat="1" applyFont="1" applyFill="1" applyBorder="1" applyAlignment="1" applyProtection="1">
      <alignment horizontal="left" vertical="center"/>
      <protection/>
    </xf>
    <xf numFmtId="0" fontId="15" fillId="3" borderId="15" xfId="0" applyNumberFormat="1" applyFont="1" applyFill="1" applyBorder="1" applyAlignment="1" applyProtection="1">
      <alignment horizontal="left" vertical="center"/>
      <protection/>
    </xf>
    <xf numFmtId="0" fontId="16" fillId="4"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vertical="top"/>
      <protection/>
    </xf>
    <xf numFmtId="49" fontId="9" fillId="0" borderId="29"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4" fontId="14" fillId="0" borderId="1" xfId="0" applyNumberFormat="1" applyFont="1" applyFill="1" applyBorder="1" applyAlignment="1" applyProtection="1">
      <alignment horizontal="right" vertical="center"/>
      <protection/>
    </xf>
    <xf numFmtId="49" fontId="9" fillId="0" borderId="31" xfId="0" applyNumberFormat="1" applyFont="1" applyFill="1" applyBorder="1" applyAlignment="1" applyProtection="1">
      <alignment horizontal="center" vertical="center"/>
      <protection/>
    </xf>
    <xf numFmtId="49" fontId="9" fillId="0" borderId="32" xfId="0" applyNumberFormat="1" applyFont="1" applyFill="1" applyBorder="1" applyAlignment="1" applyProtection="1">
      <alignment horizontal="center" vertical="center"/>
      <protection/>
    </xf>
    <xf numFmtId="49" fontId="9" fillId="0" borderId="33" xfId="0" applyNumberFormat="1" applyFont="1" applyFill="1" applyBorder="1" applyAlignment="1" applyProtection="1">
      <alignment horizontal="center" vertical="center"/>
      <protection/>
    </xf>
    <xf numFmtId="49" fontId="9" fillId="0" borderId="34"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left" vertical="center"/>
      <protection/>
    </xf>
    <xf numFmtId="0" fontId="9" fillId="0" borderId="35" xfId="0" applyNumberFormat="1" applyFont="1" applyFill="1" applyBorder="1" applyAlignment="1" applyProtection="1">
      <alignment horizontal="center" vertical="center"/>
      <protection/>
    </xf>
    <xf numFmtId="49" fontId="9" fillId="0" borderId="22" xfId="0" applyNumberFormat="1" applyFont="1" applyFill="1" applyBorder="1" applyAlignment="1" applyProtection="1">
      <alignment horizontal="center" vertical="center"/>
      <protection/>
    </xf>
    <xf numFmtId="0" fontId="9" fillId="0" borderId="36" xfId="0" applyNumberFormat="1" applyFont="1" applyFill="1" applyBorder="1" applyAlignment="1" applyProtection="1">
      <alignment horizontal="center" vertical="center"/>
      <protection/>
    </xf>
    <xf numFmtId="49" fontId="9" fillId="0" borderId="37" xfId="0" applyNumberFormat="1" applyFont="1" applyFill="1" applyBorder="1" applyAlignment="1" applyProtection="1">
      <alignment horizontal="center" vertical="center"/>
      <protection/>
    </xf>
    <xf numFmtId="49" fontId="15" fillId="3" borderId="15" xfId="0" applyNumberFormat="1" applyFont="1" applyFill="1" applyBorder="1" applyAlignment="1" applyProtection="1">
      <alignment horizontal="right" vertical="center"/>
      <protection/>
    </xf>
    <xf numFmtId="49" fontId="16" fillId="4" borderId="0" xfId="0" applyNumberFormat="1" applyFont="1" applyFill="1" applyBorder="1" applyAlignment="1" applyProtection="1">
      <alignment horizontal="right" vertical="center"/>
      <protection/>
    </xf>
    <xf numFmtId="0" fontId="1" fillId="0" borderId="18" xfId="0" applyNumberFormat="1" applyFont="1" applyFill="1" applyBorder="1" applyAlignment="1" applyProtection="1">
      <alignment horizontal="left" vertical="center"/>
      <protection/>
    </xf>
    <xf numFmtId="0" fontId="1" fillId="0" borderId="38" xfId="0" applyNumberFormat="1" applyFont="1" applyFill="1" applyBorder="1" applyAlignment="1" applyProtection="1">
      <alignment horizontal="left" vertical="center"/>
      <protection/>
    </xf>
    <xf numFmtId="49" fontId="9" fillId="0" borderId="39"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right" vertical="center"/>
      <protection/>
    </xf>
    <xf numFmtId="49" fontId="14" fillId="0" borderId="0" xfId="0" applyNumberFormat="1" applyFont="1" applyFill="1" applyBorder="1" applyAlignment="1" applyProtection="1">
      <alignment horizontal="right" vertical="center"/>
      <protection/>
    </xf>
    <xf numFmtId="49" fontId="14" fillId="0" borderId="1"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15" fillId="3" borderId="15" xfId="0" applyNumberFormat="1" applyFont="1" applyFill="1" applyBorder="1" applyAlignment="1" applyProtection="1">
      <alignment horizontal="right" vertical="center"/>
      <protection/>
    </xf>
    <xf numFmtId="4" fontId="16" fillId="4" borderId="0" xfId="0" applyNumberFormat="1" applyFont="1" applyFill="1" applyBorder="1" applyAlignment="1" applyProtection="1">
      <alignment horizontal="right" vertical="center"/>
      <protection/>
    </xf>
    <xf numFmtId="4" fontId="9" fillId="0" borderId="10" xfId="0" applyNumberFormat="1" applyFont="1" applyFill="1" applyBorder="1" applyAlignment="1" applyProtection="1">
      <alignment horizontal="right" vertical="center"/>
      <protection/>
    </xf>
    <xf numFmtId="49" fontId="10" fillId="0" borderId="1"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228600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33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A1" sqref="A1"/>
    </sheetView>
  </sheetViews>
  <sheetFormatPr defaultColWidth="11.57421875" defaultRowHeight="12.75"/>
  <cols>
    <col min="1" max="1" width="9.140625" customWidth="1"/>
    <col min="2" max="2" width="12.8515625" customWidth="1"/>
    <col min="3" max="3" width="22.8515625" customWidth="1"/>
    <col min="4" max="4" width="10.00390625" customWidth="1"/>
    <col min="5" max="5" width="14.00390625" customWidth="1"/>
    <col min="6" max="6" width="22.8515625" customWidth="1"/>
    <col min="7" max="7" width="9.140625" customWidth="1"/>
    <col min="8" max="8" width="12.8515625" customWidth="1"/>
    <col min="9" max="9" width="22.8515625" customWidth="1"/>
  </cols>
  <sheetData>
    <row r="1" spans="1:9" ht="72.75" customHeight="1">
      <c r="A1" s="114"/>
      <c r="B1" s="2"/>
      <c r="C1" s="32" t="s">
        <v>22</v>
      </c>
      <c r="D1" s="41"/>
      <c r="E1" s="41"/>
      <c r="F1" s="41"/>
      <c r="G1" s="41"/>
      <c r="H1" s="41"/>
      <c r="I1" s="41"/>
    </row>
    <row r="2" spans="1:10" ht="12.75">
      <c r="A2" s="3" t="s">
        <v>0</v>
      </c>
      <c r="B2" s="20"/>
      <c r="C2" s="33" t="s">
        <v>23</v>
      </c>
      <c r="D2" s="42"/>
      <c r="E2" s="45" t="s">
        <v>35</v>
      </c>
      <c r="F2" s="45"/>
      <c r="G2" s="20"/>
      <c r="H2" s="45" t="s">
        <v>56</v>
      </c>
      <c r="I2" s="53"/>
      <c r="J2" s="59"/>
    </row>
    <row r="3" spans="1:10" ht="12.75">
      <c r="A3" s="4"/>
      <c r="B3" s="21"/>
      <c r="C3" s="34"/>
      <c r="D3" s="34"/>
      <c r="E3" s="21"/>
      <c r="F3" s="21"/>
      <c r="G3" s="21"/>
      <c r="H3" s="21"/>
      <c r="I3" s="54"/>
      <c r="J3" s="59"/>
    </row>
    <row r="4" spans="1:10" ht="12.75">
      <c r="A4" s="5" t="s">
        <v>1</v>
      </c>
      <c r="B4" s="21"/>
      <c r="C4" s="19" t="s">
        <v>24</v>
      </c>
      <c r="D4" s="21"/>
      <c r="E4" s="19" t="s">
        <v>36</v>
      </c>
      <c r="F4" s="19"/>
      <c r="G4" s="21"/>
      <c r="H4" s="19" t="s">
        <v>56</v>
      </c>
      <c r="I4" s="55"/>
      <c r="J4" s="59"/>
    </row>
    <row r="5" spans="1:10" ht="12.75">
      <c r="A5" s="4"/>
      <c r="B5" s="21"/>
      <c r="C5" s="21"/>
      <c r="D5" s="21"/>
      <c r="E5" s="21"/>
      <c r="F5" s="21"/>
      <c r="G5" s="21"/>
      <c r="H5" s="21"/>
      <c r="I5" s="54"/>
      <c r="J5" s="59"/>
    </row>
    <row r="6" spans="1:10" ht="12.75">
      <c r="A6" s="5" t="s">
        <v>2</v>
      </c>
      <c r="B6" s="21"/>
      <c r="C6" s="19" t="s">
        <v>25</v>
      </c>
      <c r="D6" s="21"/>
      <c r="E6" s="19" t="s">
        <v>37</v>
      </c>
      <c r="F6" s="19"/>
      <c r="G6" s="21"/>
      <c r="H6" s="19" t="s">
        <v>56</v>
      </c>
      <c r="I6" s="55"/>
      <c r="J6" s="59"/>
    </row>
    <row r="7" spans="1:10" ht="12.75">
      <c r="A7" s="4"/>
      <c r="B7" s="21"/>
      <c r="C7" s="21"/>
      <c r="D7" s="21"/>
      <c r="E7" s="21"/>
      <c r="F7" s="21"/>
      <c r="G7" s="21"/>
      <c r="H7" s="21"/>
      <c r="I7" s="54"/>
      <c r="J7" s="59"/>
    </row>
    <row r="8" spans="1:10" ht="12.75">
      <c r="A8" s="5" t="s">
        <v>3</v>
      </c>
      <c r="B8" s="21"/>
      <c r="C8" s="35">
        <v>42830</v>
      </c>
      <c r="D8" s="21"/>
      <c r="E8" s="19" t="s">
        <v>38</v>
      </c>
      <c r="F8" s="21"/>
      <c r="G8" s="21"/>
      <c r="H8" s="52" t="s">
        <v>57</v>
      </c>
      <c r="I8" s="55" t="s">
        <v>60</v>
      </c>
      <c r="J8" s="59"/>
    </row>
    <row r="9" spans="1:10" ht="12.75">
      <c r="A9" s="4"/>
      <c r="B9" s="21"/>
      <c r="C9" s="21"/>
      <c r="D9" s="21"/>
      <c r="E9" s="21"/>
      <c r="F9" s="21"/>
      <c r="G9" s="21"/>
      <c r="H9" s="21"/>
      <c r="I9" s="54"/>
      <c r="J9" s="59"/>
    </row>
    <row r="10" spans="1:10" ht="12.75">
      <c r="A10" s="5" t="s">
        <v>4</v>
      </c>
      <c r="B10" s="21"/>
      <c r="C10" s="19">
        <v>8013212</v>
      </c>
      <c r="D10" s="21"/>
      <c r="E10" s="19" t="s">
        <v>39</v>
      </c>
      <c r="F10" s="19" t="s">
        <v>41</v>
      </c>
      <c r="G10" s="21"/>
      <c r="H10" s="52" t="s">
        <v>58</v>
      </c>
      <c r="I10" s="56">
        <v>42830</v>
      </c>
      <c r="J10" s="59"/>
    </row>
    <row r="11" spans="1:10" ht="12.75">
      <c r="A11" s="6"/>
      <c r="B11" s="22"/>
      <c r="C11" s="22"/>
      <c r="D11" s="22"/>
      <c r="E11" s="22"/>
      <c r="F11" s="22"/>
      <c r="G11" s="22"/>
      <c r="H11" s="22"/>
      <c r="I11" s="57"/>
      <c r="J11" s="59"/>
    </row>
    <row r="12" spans="1:9" ht="23.25" customHeight="1">
      <c r="A12" s="7" t="s">
        <v>5</v>
      </c>
      <c r="B12" s="23"/>
      <c r="C12" s="23"/>
      <c r="D12" s="23"/>
      <c r="E12" s="23"/>
      <c r="F12" s="23"/>
      <c r="G12" s="23"/>
      <c r="H12" s="23"/>
      <c r="I12" s="23"/>
    </row>
    <row r="13" spans="1:10" ht="26.25" customHeight="1">
      <c r="A13" s="8" t="s">
        <v>6</v>
      </c>
      <c r="B13" s="24" t="s">
        <v>19</v>
      </c>
      <c r="C13" s="36"/>
      <c r="D13" s="8" t="s">
        <v>26</v>
      </c>
      <c r="E13" s="24" t="s">
        <v>40</v>
      </c>
      <c r="F13" s="36"/>
      <c r="G13" s="8" t="s">
        <v>42</v>
      </c>
      <c r="H13" s="24" t="s">
        <v>59</v>
      </c>
      <c r="I13" s="36"/>
      <c r="J13" s="59"/>
    </row>
    <row r="14" spans="1:10" ht="15" customHeight="1">
      <c r="A14" s="9" t="s">
        <v>7</v>
      </c>
      <c r="B14" s="25" t="s">
        <v>20</v>
      </c>
      <c r="C14" s="47">
        <f>SUM('Stavební rozpočet'!R12:R94)</f>
        <v>0</v>
      </c>
      <c r="D14" s="43" t="s">
        <v>27</v>
      </c>
      <c r="E14" s="46"/>
      <c r="F14" s="47">
        <v>0</v>
      </c>
      <c r="G14" s="43" t="s">
        <v>43</v>
      </c>
      <c r="H14" s="46"/>
      <c r="I14" s="47">
        <v>0</v>
      </c>
      <c r="J14" s="59"/>
    </row>
    <row r="15" spans="1:10" ht="15" customHeight="1">
      <c r="A15" s="10"/>
      <c r="B15" s="25" t="s">
        <v>21</v>
      </c>
      <c r="C15" s="47">
        <f>SUM('Stavební rozpočet'!S12:S94)</f>
        <v>0</v>
      </c>
      <c r="D15" s="43" t="s">
        <v>28</v>
      </c>
      <c r="E15" s="46"/>
      <c r="F15" s="47">
        <v>0</v>
      </c>
      <c r="G15" s="43" t="s">
        <v>44</v>
      </c>
      <c r="H15" s="46"/>
      <c r="I15" s="47">
        <v>0</v>
      </c>
      <c r="J15" s="59"/>
    </row>
    <row r="16" spans="1:10" ht="15" customHeight="1">
      <c r="A16" s="9" t="s">
        <v>8</v>
      </c>
      <c r="B16" s="25" t="s">
        <v>20</v>
      </c>
      <c r="C16" s="47">
        <f>SUM('Stavební rozpočet'!T12:T94)</f>
        <v>0</v>
      </c>
      <c r="D16" s="43" t="s">
        <v>29</v>
      </c>
      <c r="E16" s="46"/>
      <c r="F16" s="47">
        <v>0</v>
      </c>
      <c r="G16" s="43" t="s">
        <v>45</v>
      </c>
      <c r="H16" s="46"/>
      <c r="I16" s="47">
        <v>0</v>
      </c>
      <c r="J16" s="59"/>
    </row>
    <row r="17" spans="1:10" ht="15" customHeight="1">
      <c r="A17" s="10"/>
      <c r="B17" s="25" t="s">
        <v>21</v>
      </c>
      <c r="C17" s="47">
        <f>SUM('Stavební rozpočet'!U12:U94)</f>
        <v>0</v>
      </c>
      <c r="D17" s="43"/>
      <c r="E17" s="46"/>
      <c r="F17" s="48"/>
      <c r="G17" s="43" t="s">
        <v>46</v>
      </c>
      <c r="H17" s="46"/>
      <c r="I17" s="47">
        <v>0</v>
      </c>
      <c r="J17" s="59"/>
    </row>
    <row r="18" spans="1:10" ht="15" customHeight="1">
      <c r="A18" s="9" t="s">
        <v>9</v>
      </c>
      <c r="B18" s="25" t="s">
        <v>20</v>
      </c>
      <c r="C18" s="47">
        <f>SUM('Stavební rozpočet'!V12:V94)</f>
        <v>0</v>
      </c>
      <c r="D18" s="43"/>
      <c r="E18" s="46"/>
      <c r="F18" s="48"/>
      <c r="G18" s="43" t="s">
        <v>47</v>
      </c>
      <c r="H18" s="46"/>
      <c r="I18" s="47">
        <v>0</v>
      </c>
      <c r="J18" s="59"/>
    </row>
    <row r="19" spans="1:10" ht="15" customHeight="1">
      <c r="A19" s="10"/>
      <c r="B19" s="25" t="s">
        <v>21</v>
      </c>
      <c r="C19" s="47">
        <f>SUM('Stavební rozpočet'!W12:W94)</f>
        <v>0</v>
      </c>
      <c r="D19" s="43"/>
      <c r="E19" s="46"/>
      <c r="F19" s="48"/>
      <c r="G19" s="43" t="s">
        <v>48</v>
      </c>
      <c r="H19" s="46"/>
      <c r="I19" s="47">
        <v>0</v>
      </c>
      <c r="J19" s="59"/>
    </row>
    <row r="20" spans="1:10" ht="15" customHeight="1">
      <c r="A20" s="11" t="s">
        <v>10</v>
      </c>
      <c r="B20" s="26"/>
      <c r="C20" s="47">
        <f>SUM('Stavební rozpočet'!X12:X94)</f>
        <v>0</v>
      </c>
      <c r="D20" s="43"/>
      <c r="E20" s="46"/>
      <c r="F20" s="48"/>
      <c r="G20" s="43"/>
      <c r="H20" s="46"/>
      <c r="I20" s="48"/>
      <c r="J20" s="59"/>
    </row>
    <row r="21" spans="1:10" ht="15" customHeight="1">
      <c r="A21" s="11" t="s">
        <v>11</v>
      </c>
      <c r="B21" s="26"/>
      <c r="C21" s="47">
        <f>SUM('Stavební rozpočet'!P12:P94)</f>
        <v>0</v>
      </c>
      <c r="D21" s="43"/>
      <c r="E21" s="46"/>
      <c r="F21" s="48"/>
      <c r="G21" s="43"/>
      <c r="H21" s="46"/>
      <c r="I21" s="48"/>
      <c r="J21" s="59"/>
    </row>
    <row r="22" spans="1:10" ht="16.5" customHeight="1">
      <c r="A22" s="11" t="s">
        <v>12</v>
      </c>
      <c r="B22" s="26"/>
      <c r="C22" s="47">
        <f>SUM(C14:C21)</f>
        <v>0</v>
      </c>
      <c r="D22" s="11" t="s">
        <v>30</v>
      </c>
      <c r="E22" s="26"/>
      <c r="F22" s="47">
        <f>SUM(F14:F21)</f>
        <v>0</v>
      </c>
      <c r="G22" s="11" t="s">
        <v>49</v>
      </c>
      <c r="H22" s="26"/>
      <c r="I22" s="47">
        <f>SUM(I14:I21)</f>
        <v>0</v>
      </c>
      <c r="J22" s="59"/>
    </row>
    <row r="23" spans="1:10" ht="15" customHeight="1">
      <c r="A23" s="12"/>
      <c r="B23" s="12"/>
      <c r="C23" s="37"/>
      <c r="D23" s="11" t="s">
        <v>31</v>
      </c>
      <c r="E23" s="26"/>
      <c r="F23" s="49">
        <v>0</v>
      </c>
      <c r="G23" s="11" t="s">
        <v>50</v>
      </c>
      <c r="H23" s="26"/>
      <c r="I23" s="47">
        <v>0</v>
      </c>
      <c r="J23" s="59"/>
    </row>
    <row r="24" spans="4:9" ht="15" customHeight="1">
      <c r="D24" s="12"/>
      <c r="E24" s="12"/>
      <c r="F24" s="50"/>
      <c r="G24" s="11" t="s">
        <v>51</v>
      </c>
      <c r="H24" s="26"/>
      <c r="I24" s="58"/>
    </row>
    <row r="25" spans="6:10" ht="15" customHeight="1">
      <c r="F25" s="51"/>
      <c r="G25" s="11" t="s">
        <v>52</v>
      </c>
      <c r="H25" s="26"/>
      <c r="I25" s="47">
        <v>0</v>
      </c>
      <c r="J25" s="59"/>
    </row>
    <row r="26" spans="1:9" ht="12.75">
      <c r="A26" s="2"/>
      <c r="B26" s="2"/>
      <c r="C26" s="2"/>
      <c r="G26" s="12"/>
      <c r="H26" s="12"/>
      <c r="I26" s="12"/>
    </row>
    <row r="27" spans="1:9" ht="15" customHeight="1">
      <c r="A27" s="13" t="s">
        <v>13</v>
      </c>
      <c r="B27" s="27"/>
      <c r="C27" s="61">
        <f>SUM('Stavební rozpočet'!Z12:Z94)</f>
        <v>0</v>
      </c>
      <c r="D27" s="44"/>
      <c r="E27" s="2"/>
      <c r="F27" s="2"/>
      <c r="G27" s="2"/>
      <c r="H27" s="2"/>
      <c r="I27" s="2"/>
    </row>
    <row r="28" spans="1:10" ht="15" customHeight="1">
      <c r="A28" s="13" t="s">
        <v>14</v>
      </c>
      <c r="B28" s="27"/>
      <c r="C28" s="61">
        <f>SUM('Stavební rozpočet'!AA12:AA94)</f>
        <v>0</v>
      </c>
      <c r="D28" s="13" t="s">
        <v>32</v>
      </c>
      <c r="E28" s="27"/>
      <c r="F28" s="61">
        <f>ROUND(C28*(15/100),2)</f>
        <v>0</v>
      </c>
      <c r="G28" s="13" t="s">
        <v>53</v>
      </c>
      <c r="H28" s="27"/>
      <c r="I28" s="61">
        <f>SUM(C27:C29)</f>
        <v>0</v>
      </c>
      <c r="J28" s="59"/>
    </row>
    <row r="29" spans="1:10" ht="15" customHeight="1">
      <c r="A29" s="13" t="s">
        <v>15</v>
      </c>
      <c r="B29" s="27"/>
      <c r="C29" s="61">
        <f>SUM('Stavební rozpočet'!AB12:AB94)+(F22+I22+F23+I23+I24+I25)</f>
        <v>0</v>
      </c>
      <c r="D29" s="13" t="s">
        <v>33</v>
      </c>
      <c r="E29" s="27"/>
      <c r="F29" s="61">
        <f>ROUND(C29*(21/100),2)</f>
        <v>0</v>
      </c>
      <c r="G29" s="13" t="s">
        <v>54</v>
      </c>
      <c r="H29" s="27"/>
      <c r="I29" s="61">
        <f>SUM(F28:F29)+I28</f>
        <v>0</v>
      </c>
      <c r="J29" s="59"/>
    </row>
    <row r="30" spans="1:9" ht="12.75">
      <c r="A30" s="14"/>
      <c r="B30" s="14"/>
      <c r="C30" s="14"/>
      <c r="D30" s="14"/>
      <c r="E30" s="14"/>
      <c r="F30" s="14"/>
      <c r="G30" s="14"/>
      <c r="H30" s="14"/>
      <c r="I30" s="14"/>
    </row>
    <row r="31" spans="1:10" ht="14.25" customHeight="1">
      <c r="A31" s="15" t="s">
        <v>16</v>
      </c>
      <c r="B31" s="28"/>
      <c r="C31" s="38"/>
      <c r="D31" s="15" t="s">
        <v>34</v>
      </c>
      <c r="E31" s="28"/>
      <c r="F31" s="38"/>
      <c r="G31" s="15" t="s">
        <v>55</v>
      </c>
      <c r="H31" s="28"/>
      <c r="I31" s="38"/>
      <c r="J31" s="60"/>
    </row>
    <row r="32" spans="1:10" ht="14.25" customHeight="1">
      <c r="A32" s="16"/>
      <c r="B32" s="29"/>
      <c r="C32" s="39"/>
      <c r="D32" s="16"/>
      <c r="E32" s="29"/>
      <c r="F32" s="39"/>
      <c r="G32" s="16"/>
      <c r="H32" s="29"/>
      <c r="I32" s="39"/>
      <c r="J32" s="60"/>
    </row>
    <row r="33" spans="1:10" ht="14.25" customHeight="1">
      <c r="A33" s="16"/>
      <c r="B33" s="29"/>
      <c r="C33" s="39"/>
      <c r="D33" s="16"/>
      <c r="E33" s="29"/>
      <c r="F33" s="39"/>
      <c r="G33" s="16"/>
      <c r="H33" s="29"/>
      <c r="I33" s="39"/>
      <c r="J33" s="60"/>
    </row>
    <row r="34" spans="1:10" ht="14.25" customHeight="1">
      <c r="A34" s="16"/>
      <c r="B34" s="29"/>
      <c r="C34" s="39"/>
      <c r="D34" s="16"/>
      <c r="E34" s="29"/>
      <c r="F34" s="39"/>
      <c r="G34" s="16"/>
      <c r="H34" s="29"/>
      <c r="I34" s="39"/>
      <c r="J34" s="60"/>
    </row>
    <row r="35" spans="1:10" ht="14.25" customHeight="1">
      <c r="A35" s="17" t="s">
        <v>17</v>
      </c>
      <c r="B35" s="30"/>
      <c r="C35" s="40"/>
      <c r="D35" s="17" t="s">
        <v>17</v>
      </c>
      <c r="E35" s="30"/>
      <c r="F35" s="40"/>
      <c r="G35" s="17" t="s">
        <v>17</v>
      </c>
      <c r="H35" s="30"/>
      <c r="I35" s="40"/>
      <c r="J35" s="60"/>
    </row>
    <row r="36" spans="1:9" ht="11.25" customHeight="1">
      <c r="A36" s="18" t="s">
        <v>18</v>
      </c>
      <c r="B36" s="31"/>
      <c r="C36" s="31"/>
      <c r="D36" s="31"/>
      <c r="E36" s="31"/>
      <c r="F36" s="31"/>
      <c r="G36" s="31"/>
      <c r="H36" s="31"/>
      <c r="I36" s="31"/>
    </row>
    <row r="37" spans="1:9" ht="0" customHeight="1" hidden="1">
      <c r="A37" s="19"/>
      <c r="B37" s="21"/>
      <c r="C37" s="21"/>
      <c r="D37" s="21"/>
      <c r="E37" s="21"/>
      <c r="F37" s="21"/>
      <c r="G37" s="21"/>
      <c r="H37" s="21"/>
      <c r="I37" s="21"/>
    </row>
  </sheetData>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7:I37"/>
  </mergeCells>
  <printOptions/>
  <pageMargins left="0.394" right="0.394" top="0.591" bottom="0.591" header="0.5" footer="0.5"/>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V97"/>
  <sheetViews>
    <sheetView workbookViewId="0" topLeftCell="A1">
      <selection activeCell="A1" sqref="A1:M1"/>
    </sheetView>
  </sheetViews>
  <sheetFormatPr defaultColWidth="11.57421875" defaultRowHeight="12.75"/>
  <cols>
    <col min="1" max="1" width="3.7109375" customWidth="1"/>
    <col min="2" max="2" width="6.8515625" customWidth="1"/>
    <col min="3" max="3" width="13.28125" customWidth="1"/>
    <col min="4" max="4" width="45.57421875" customWidth="1"/>
    <col min="5" max="5" width="4.28125" customWidth="1"/>
    <col min="6" max="6" width="12.8515625" customWidth="1"/>
    <col min="7" max="7" width="12.00390625" customWidth="1"/>
    <col min="8" max="10" width="14.28125" customWidth="1"/>
    <col min="11" max="13" width="11.7109375" customWidth="1"/>
    <col min="14" max="14" width="0" hidden="1" customWidth="1"/>
    <col min="15" max="48" width="12.140625" hidden="1" customWidth="1"/>
  </cols>
  <sheetData>
    <row r="1" spans="1:13" ht="72.75" customHeight="1">
      <c r="A1" s="113" t="s">
        <v>61</v>
      </c>
      <c r="B1" s="72"/>
      <c r="C1" s="72"/>
      <c r="D1" s="72"/>
      <c r="E1" s="72"/>
      <c r="F1" s="72"/>
      <c r="G1" s="72"/>
      <c r="H1" s="72"/>
      <c r="I1" s="72"/>
      <c r="J1" s="72"/>
      <c r="K1" s="72"/>
      <c r="L1" s="72"/>
      <c r="M1" s="72"/>
    </row>
    <row r="2" spans="1:14" ht="12.75">
      <c r="A2" s="3" t="s">
        <v>0</v>
      </c>
      <c r="B2" s="20"/>
      <c r="C2" s="20"/>
      <c r="D2" s="33" t="s">
        <v>23</v>
      </c>
      <c r="E2" s="82" t="s">
        <v>233</v>
      </c>
      <c r="F2" s="20"/>
      <c r="G2" s="82"/>
      <c r="H2" s="20"/>
      <c r="I2" s="45" t="s">
        <v>35</v>
      </c>
      <c r="J2" s="45"/>
      <c r="K2" s="20"/>
      <c r="L2" s="20"/>
      <c r="M2" s="101"/>
      <c r="N2" s="59"/>
    </row>
    <row r="3" spans="1:14" ht="12.75">
      <c r="A3" s="4"/>
      <c r="B3" s="21"/>
      <c r="C3" s="21"/>
      <c r="D3" s="34"/>
      <c r="E3" s="21"/>
      <c r="F3" s="21"/>
      <c r="G3" s="21"/>
      <c r="H3" s="21"/>
      <c r="I3" s="21"/>
      <c r="J3" s="21"/>
      <c r="K3" s="21"/>
      <c r="L3" s="21"/>
      <c r="M3" s="54"/>
      <c r="N3" s="59"/>
    </row>
    <row r="4" spans="1:14" ht="12.75">
      <c r="A4" s="5" t="s">
        <v>1</v>
      </c>
      <c r="B4" s="21"/>
      <c r="C4" s="21"/>
      <c r="D4" s="19" t="s">
        <v>24</v>
      </c>
      <c r="E4" s="52" t="s">
        <v>3</v>
      </c>
      <c r="F4" s="21"/>
      <c r="G4" s="35">
        <v>42830</v>
      </c>
      <c r="H4" s="21"/>
      <c r="I4" s="19" t="s">
        <v>36</v>
      </c>
      <c r="J4" s="19"/>
      <c r="K4" s="21"/>
      <c r="L4" s="21"/>
      <c r="M4" s="54"/>
      <c r="N4" s="59"/>
    </row>
    <row r="5" spans="1:14" ht="12.75">
      <c r="A5" s="4"/>
      <c r="B5" s="21"/>
      <c r="C5" s="21"/>
      <c r="D5" s="21"/>
      <c r="E5" s="21"/>
      <c r="F5" s="21"/>
      <c r="G5" s="21"/>
      <c r="H5" s="21"/>
      <c r="I5" s="21"/>
      <c r="J5" s="21"/>
      <c r="K5" s="21"/>
      <c r="L5" s="21"/>
      <c r="M5" s="54"/>
      <c r="N5" s="59"/>
    </row>
    <row r="6" spans="1:14" ht="12.75">
      <c r="A6" s="5" t="s">
        <v>2</v>
      </c>
      <c r="B6" s="21"/>
      <c r="C6" s="21"/>
      <c r="D6" s="19" t="s">
        <v>25</v>
      </c>
      <c r="E6" s="52" t="s">
        <v>38</v>
      </c>
      <c r="F6" s="21"/>
      <c r="G6" s="21"/>
      <c r="H6" s="21"/>
      <c r="I6" s="19" t="s">
        <v>37</v>
      </c>
      <c r="J6" s="19"/>
      <c r="K6" s="21"/>
      <c r="L6" s="21"/>
      <c r="M6" s="54"/>
      <c r="N6" s="59"/>
    </row>
    <row r="7" spans="1:14" ht="12.75">
      <c r="A7" s="4"/>
      <c r="B7" s="21"/>
      <c r="C7" s="21"/>
      <c r="D7" s="21"/>
      <c r="E7" s="21"/>
      <c r="F7" s="21"/>
      <c r="G7" s="21"/>
      <c r="H7" s="21"/>
      <c r="I7" s="21"/>
      <c r="J7" s="21"/>
      <c r="K7" s="21"/>
      <c r="L7" s="21"/>
      <c r="M7" s="54"/>
      <c r="N7" s="59"/>
    </row>
    <row r="8" spans="1:14" ht="12.75">
      <c r="A8" s="5" t="s">
        <v>4</v>
      </c>
      <c r="B8" s="21"/>
      <c r="C8" s="21"/>
      <c r="D8" s="19">
        <v>8013212</v>
      </c>
      <c r="E8" s="52" t="s">
        <v>234</v>
      </c>
      <c r="F8" s="21"/>
      <c r="G8" s="35">
        <v>42830</v>
      </c>
      <c r="H8" s="21"/>
      <c r="I8" s="19" t="s">
        <v>39</v>
      </c>
      <c r="J8" s="19" t="s">
        <v>41</v>
      </c>
      <c r="K8" s="21"/>
      <c r="L8" s="21"/>
      <c r="M8" s="54"/>
      <c r="N8" s="59"/>
    </row>
    <row r="9" spans="1:14" ht="12.75">
      <c r="A9" s="63"/>
      <c r="B9" s="73"/>
      <c r="C9" s="73"/>
      <c r="D9" s="73"/>
      <c r="E9" s="73"/>
      <c r="F9" s="73"/>
      <c r="G9" s="73"/>
      <c r="H9" s="73"/>
      <c r="I9" s="73"/>
      <c r="J9" s="73"/>
      <c r="K9" s="73"/>
      <c r="L9" s="73"/>
      <c r="M9" s="102"/>
      <c r="N9" s="59"/>
    </row>
    <row r="10" spans="1:14" ht="12.75">
      <c r="A10" s="64" t="s">
        <v>62</v>
      </c>
      <c r="B10" s="74" t="s">
        <v>104</v>
      </c>
      <c r="C10" s="74" t="s">
        <v>105</v>
      </c>
      <c r="D10" s="74" t="s">
        <v>158</v>
      </c>
      <c r="E10" s="74" t="s">
        <v>235</v>
      </c>
      <c r="F10" s="86" t="s">
        <v>247</v>
      </c>
      <c r="G10" s="90" t="s">
        <v>248</v>
      </c>
      <c r="H10" s="92" t="s">
        <v>250</v>
      </c>
      <c r="I10" s="95"/>
      <c r="J10" s="97"/>
      <c r="K10" s="92" t="s">
        <v>254</v>
      </c>
      <c r="L10" s="97"/>
      <c r="M10" s="103" t="s">
        <v>255</v>
      </c>
      <c r="N10" s="60"/>
    </row>
    <row r="11" spans="1:24" ht="12.75">
      <c r="A11" s="65" t="s">
        <v>63</v>
      </c>
      <c r="B11" s="75" t="s">
        <v>63</v>
      </c>
      <c r="C11" s="75" t="s">
        <v>63</v>
      </c>
      <c r="D11" s="79" t="s">
        <v>159</v>
      </c>
      <c r="E11" s="75" t="s">
        <v>63</v>
      </c>
      <c r="F11" s="75" t="s">
        <v>63</v>
      </c>
      <c r="G11" s="91" t="s">
        <v>249</v>
      </c>
      <c r="H11" s="93" t="s">
        <v>251</v>
      </c>
      <c r="I11" s="96" t="s">
        <v>21</v>
      </c>
      <c r="J11" s="98" t="s">
        <v>253</v>
      </c>
      <c r="K11" s="93" t="s">
        <v>248</v>
      </c>
      <c r="L11" s="98" t="s">
        <v>253</v>
      </c>
      <c r="M11" s="104" t="s">
        <v>256</v>
      </c>
      <c r="N11" s="60"/>
      <c r="P11" s="100" t="s">
        <v>258</v>
      </c>
      <c r="Q11" s="100" t="s">
        <v>259</v>
      </c>
      <c r="R11" s="100" t="s">
        <v>260</v>
      </c>
      <c r="S11" s="100" t="s">
        <v>261</v>
      </c>
      <c r="T11" s="100" t="s">
        <v>262</v>
      </c>
      <c r="U11" s="100" t="s">
        <v>263</v>
      </c>
      <c r="V11" s="100" t="s">
        <v>264</v>
      </c>
      <c r="W11" s="100" t="s">
        <v>265</v>
      </c>
      <c r="X11" s="100" t="s">
        <v>266</v>
      </c>
    </row>
    <row r="12" spans="1:13" ht="12.75">
      <c r="A12" s="66"/>
      <c r="B12" s="76"/>
      <c r="C12" s="76"/>
      <c r="D12" s="76" t="s">
        <v>160</v>
      </c>
      <c r="E12" s="83"/>
      <c r="F12" s="83"/>
      <c r="G12" s="83"/>
      <c r="H12" s="110">
        <f>H13+H16+H19+H22+H30+H36+H75+H77+H79+H82+H85</f>
        <v>0</v>
      </c>
      <c r="I12" s="110">
        <f>I13+I16+I19+I22+I30+I36+I75+I77+I79+I82+I85</f>
        <v>0</v>
      </c>
      <c r="J12" s="110">
        <f>H12+I12</f>
        <v>0</v>
      </c>
      <c r="K12" s="99"/>
      <c r="L12" s="110">
        <f>L13+L16+L19+L22+L30+L36+L75+L77+L79+L82+L85</f>
        <v>9.110009999999999</v>
      </c>
      <c r="M12" s="99"/>
    </row>
    <row r="13" spans="1:37" ht="12.75">
      <c r="A13" s="67"/>
      <c r="B13" s="77"/>
      <c r="C13" s="77" t="s">
        <v>106</v>
      </c>
      <c r="D13" s="77" t="s">
        <v>161</v>
      </c>
      <c r="E13" s="84"/>
      <c r="F13" s="84"/>
      <c r="G13" s="84"/>
      <c r="H13" s="111">
        <f>SUM(H14:H14)</f>
        <v>0</v>
      </c>
      <c r="I13" s="111">
        <f>SUM(I14:I14)</f>
        <v>0</v>
      </c>
      <c r="J13" s="111">
        <f>H13+I13</f>
        <v>0</v>
      </c>
      <c r="K13" s="100"/>
      <c r="L13" s="111">
        <f>SUM(L14:L14)</f>
        <v>0</v>
      </c>
      <c r="M13" s="100"/>
      <c r="Y13" s="100"/>
      <c r="AI13" s="111">
        <f>SUM(Z14:Z14)</f>
        <v>0</v>
      </c>
      <c r="AJ13" s="111">
        <f>SUM(AA14:AA14)</f>
        <v>0</v>
      </c>
      <c r="AK13" s="111">
        <f>SUM(AB14:AB14)</f>
        <v>0</v>
      </c>
    </row>
    <row r="14" spans="1:48" ht="12.75">
      <c r="A14" s="68" t="s">
        <v>64</v>
      </c>
      <c r="B14" s="68"/>
      <c r="C14" s="68" t="s">
        <v>107</v>
      </c>
      <c r="D14" s="68" t="s">
        <v>162</v>
      </c>
      <c r="E14" s="68" t="s">
        <v>236</v>
      </c>
      <c r="F14" s="87">
        <v>2</v>
      </c>
      <c r="G14" s="87">
        <v>0</v>
      </c>
      <c r="H14" s="87">
        <f>F14*AE14</f>
        <v>0</v>
      </c>
      <c r="I14" s="87">
        <f>J14-H14</f>
        <v>0</v>
      </c>
      <c r="J14" s="87">
        <f>F14*G14</f>
        <v>0</v>
      </c>
      <c r="K14" s="87">
        <v>0</v>
      </c>
      <c r="L14" s="87">
        <f>F14*K14</f>
        <v>0</v>
      </c>
      <c r="M14" s="105"/>
      <c r="P14" s="108">
        <f>IF(AG14="5",J14,0)</f>
        <v>0</v>
      </c>
      <c r="R14" s="108">
        <f>IF(AG14="1",H14,0)</f>
        <v>0</v>
      </c>
      <c r="S14" s="108">
        <f>IF(AG14="1",I14,0)</f>
        <v>0</v>
      </c>
      <c r="T14" s="108">
        <f>IF(AG14="7",H14,0)</f>
        <v>0</v>
      </c>
      <c r="U14" s="108">
        <f>IF(AG14="7",I14,0)</f>
        <v>0</v>
      </c>
      <c r="V14" s="108">
        <f>IF(AG14="2",H14,0)</f>
        <v>0</v>
      </c>
      <c r="W14" s="108">
        <f>IF(AG14="2",I14,0)</f>
        <v>0</v>
      </c>
      <c r="X14" s="108">
        <f>IF(AG14="0",J14,0)</f>
        <v>0</v>
      </c>
      <c r="Y14" s="100"/>
      <c r="Z14" s="87">
        <f>IF(AD14=0,J14,0)</f>
        <v>0</v>
      </c>
      <c r="AA14" s="87">
        <f>IF(AD14=15,J14,0)</f>
        <v>0</v>
      </c>
      <c r="AB14" s="87">
        <f>IF(AD14=21,J14,0)</f>
        <v>0</v>
      </c>
      <c r="AD14" s="108">
        <v>21</v>
      </c>
      <c r="AE14" s="108">
        <f>G14*0</f>
        <v>0</v>
      </c>
      <c r="AF14" s="108">
        <f>G14*(1-0)</f>
        <v>0</v>
      </c>
      <c r="AG14" s="105" t="s">
        <v>64</v>
      </c>
      <c r="AM14" s="108">
        <f>F14*AE14</f>
        <v>0</v>
      </c>
      <c r="AN14" s="108">
        <f>F14*AF14</f>
        <v>0</v>
      </c>
      <c r="AO14" s="109" t="s">
        <v>268</v>
      </c>
      <c r="AP14" s="109" t="s">
        <v>279</v>
      </c>
      <c r="AQ14" s="100" t="s">
        <v>284</v>
      </c>
      <c r="AS14" s="108">
        <f>AM14+AN14</f>
        <v>0</v>
      </c>
      <c r="AT14" s="108">
        <f>G14/(100-AU14)*100</f>
        <v>0</v>
      </c>
      <c r="AU14" s="108">
        <v>0</v>
      </c>
      <c r="AV14" s="108">
        <f>L14</f>
        <v>0</v>
      </c>
    </row>
    <row r="15" ht="12.75">
      <c r="D15" s="80" t="s">
        <v>162</v>
      </c>
    </row>
    <row r="16" spans="1:37" ht="12.75">
      <c r="A16" s="67"/>
      <c r="B16" s="77"/>
      <c r="C16" s="77" t="s">
        <v>108</v>
      </c>
      <c r="D16" s="77" t="s">
        <v>163</v>
      </c>
      <c r="E16" s="84"/>
      <c r="F16" s="84"/>
      <c r="G16" s="84"/>
      <c r="H16" s="111">
        <f>SUM(H17:H17)</f>
        <v>0</v>
      </c>
      <c r="I16" s="111">
        <f>SUM(I17:I17)</f>
        <v>0</v>
      </c>
      <c r="J16" s="111">
        <f>H16+I16</f>
        <v>0</v>
      </c>
      <c r="K16" s="100"/>
      <c r="L16" s="111">
        <f>SUM(L17:L17)</f>
        <v>2.8836</v>
      </c>
      <c r="M16" s="100"/>
      <c r="Y16" s="100"/>
      <c r="AI16" s="111">
        <f>SUM(Z17:Z17)</f>
        <v>0</v>
      </c>
      <c r="AJ16" s="111">
        <f>SUM(AA17:AA17)</f>
        <v>0</v>
      </c>
      <c r="AK16" s="111">
        <f>SUM(AB17:AB17)</f>
        <v>0</v>
      </c>
    </row>
    <row r="17" spans="1:48" ht="12.75">
      <c r="A17" s="68" t="s">
        <v>65</v>
      </c>
      <c r="B17" s="68"/>
      <c r="C17" s="68" t="s">
        <v>109</v>
      </c>
      <c r="D17" s="68" t="s">
        <v>164</v>
      </c>
      <c r="E17" s="68" t="s">
        <v>237</v>
      </c>
      <c r="F17" s="87">
        <v>60</v>
      </c>
      <c r="G17" s="87">
        <v>0</v>
      </c>
      <c r="H17" s="87">
        <f>F17*AE17</f>
        <v>0</v>
      </c>
      <c r="I17" s="87">
        <f>J17-H17</f>
        <v>0</v>
      </c>
      <c r="J17" s="87">
        <f>F17*G17</f>
        <v>0</v>
      </c>
      <c r="K17" s="87">
        <v>0.04806</v>
      </c>
      <c r="L17" s="87">
        <f>F17*K17</f>
        <v>2.8836</v>
      </c>
      <c r="M17" s="105" t="s">
        <v>257</v>
      </c>
      <c r="P17" s="108">
        <f>IF(AG17="5",J17,0)</f>
        <v>0</v>
      </c>
      <c r="R17" s="108">
        <f>IF(AG17="1",H17,0)</f>
        <v>0</v>
      </c>
      <c r="S17" s="108">
        <f>IF(AG17="1",I17,0)</f>
        <v>0</v>
      </c>
      <c r="T17" s="108">
        <f>IF(AG17="7",H17,0)</f>
        <v>0</v>
      </c>
      <c r="U17" s="108">
        <f>IF(AG17="7",I17,0)</f>
        <v>0</v>
      </c>
      <c r="V17" s="108">
        <f>IF(AG17="2",H17,0)</f>
        <v>0</v>
      </c>
      <c r="W17" s="108">
        <f>IF(AG17="2",I17,0)</f>
        <v>0</v>
      </c>
      <c r="X17" s="108">
        <f>IF(AG17="0",J17,0)</f>
        <v>0</v>
      </c>
      <c r="Y17" s="100"/>
      <c r="Z17" s="87">
        <f>IF(AD17=0,J17,0)</f>
        <v>0</v>
      </c>
      <c r="AA17" s="87">
        <f>IF(AD17=15,J17,0)</f>
        <v>0</v>
      </c>
      <c r="AB17" s="87">
        <f>IF(AD17=21,J17,0)</f>
        <v>0</v>
      </c>
      <c r="AD17" s="108">
        <v>21</v>
      </c>
      <c r="AE17" s="108">
        <f>G17*0.16570452403393</f>
        <v>0</v>
      </c>
      <c r="AF17" s="108">
        <f>G17*(1-0.16570452403393)</f>
        <v>0</v>
      </c>
      <c r="AG17" s="105" t="s">
        <v>64</v>
      </c>
      <c r="AM17" s="108">
        <f>F17*AE17</f>
        <v>0</v>
      </c>
      <c r="AN17" s="108">
        <f>F17*AF17</f>
        <v>0</v>
      </c>
      <c r="AO17" s="109" t="s">
        <v>269</v>
      </c>
      <c r="AP17" s="109" t="s">
        <v>280</v>
      </c>
      <c r="AQ17" s="100" t="s">
        <v>284</v>
      </c>
      <c r="AS17" s="108">
        <f>AM17+AN17</f>
        <v>0</v>
      </c>
      <c r="AT17" s="108">
        <f>G17/(100-AU17)*100</f>
        <v>0</v>
      </c>
      <c r="AU17" s="108">
        <v>0</v>
      </c>
      <c r="AV17" s="108">
        <f>L17</f>
        <v>2.8836</v>
      </c>
    </row>
    <row r="18" ht="12.75">
      <c r="D18" s="80" t="s">
        <v>165</v>
      </c>
    </row>
    <row r="19" spans="1:37" ht="12.75">
      <c r="A19" s="67"/>
      <c r="B19" s="77"/>
      <c r="C19" s="77" t="s">
        <v>110</v>
      </c>
      <c r="D19" s="77" t="s">
        <v>166</v>
      </c>
      <c r="E19" s="84"/>
      <c r="F19" s="84"/>
      <c r="G19" s="84"/>
      <c r="H19" s="111">
        <f>SUM(H20:H20)</f>
        <v>0</v>
      </c>
      <c r="I19" s="111">
        <f>SUM(I20:I20)</f>
        <v>0</v>
      </c>
      <c r="J19" s="111">
        <f>H19+I19</f>
        <v>0</v>
      </c>
      <c r="K19" s="100"/>
      <c r="L19" s="111">
        <f>SUM(L20:L20)</f>
        <v>0.72</v>
      </c>
      <c r="M19" s="100"/>
      <c r="Y19" s="100"/>
      <c r="AI19" s="111">
        <f>SUM(Z20:Z20)</f>
        <v>0</v>
      </c>
      <c r="AJ19" s="111">
        <f>SUM(AA20:AA20)</f>
        <v>0</v>
      </c>
      <c r="AK19" s="111">
        <f>SUM(AB20:AB20)</f>
        <v>0</v>
      </c>
    </row>
    <row r="20" spans="1:48" ht="12.75">
      <c r="A20" s="68" t="s">
        <v>66</v>
      </c>
      <c r="B20" s="68"/>
      <c r="C20" s="68" t="s">
        <v>111</v>
      </c>
      <c r="D20" s="68" t="s">
        <v>167</v>
      </c>
      <c r="E20" s="68" t="s">
        <v>237</v>
      </c>
      <c r="F20" s="87">
        <v>1500</v>
      </c>
      <c r="G20" s="87">
        <v>0</v>
      </c>
      <c r="H20" s="87">
        <f>F20*AE20</f>
        <v>0</v>
      </c>
      <c r="I20" s="87">
        <f>J20-H20</f>
        <v>0</v>
      </c>
      <c r="J20" s="87">
        <f>F20*G20</f>
        <v>0</v>
      </c>
      <c r="K20" s="87">
        <v>0.00048</v>
      </c>
      <c r="L20" s="87">
        <f>F20*K20</f>
        <v>0.72</v>
      </c>
      <c r="M20" s="105" t="s">
        <v>257</v>
      </c>
      <c r="P20" s="108">
        <f>IF(AG20="5",J20,0)</f>
        <v>0</v>
      </c>
      <c r="R20" s="108">
        <f>IF(AG20="1",H20,0)</f>
        <v>0</v>
      </c>
      <c r="S20" s="108">
        <f>IF(AG20="1",I20,0)</f>
        <v>0</v>
      </c>
      <c r="T20" s="108">
        <f>IF(AG20="7",H20,0)</f>
        <v>0</v>
      </c>
      <c r="U20" s="108">
        <f>IF(AG20="7",I20,0)</f>
        <v>0</v>
      </c>
      <c r="V20" s="108">
        <f>IF(AG20="2",H20,0)</f>
        <v>0</v>
      </c>
      <c r="W20" s="108">
        <f>IF(AG20="2",I20,0)</f>
        <v>0</v>
      </c>
      <c r="X20" s="108">
        <f>IF(AG20="0",J20,0)</f>
        <v>0</v>
      </c>
      <c r="Y20" s="100"/>
      <c r="Z20" s="87">
        <f>IF(AD20=0,J20,0)</f>
        <v>0</v>
      </c>
      <c r="AA20" s="87">
        <f>IF(AD20=15,J20,0)</f>
        <v>0</v>
      </c>
      <c r="AB20" s="87">
        <f>IF(AD20=21,J20,0)</f>
        <v>0</v>
      </c>
      <c r="AD20" s="108">
        <v>21</v>
      </c>
      <c r="AE20" s="108">
        <f>G20*0.364715719063545</f>
        <v>0</v>
      </c>
      <c r="AF20" s="108">
        <f>G20*(1-0.364715719063545)</f>
        <v>0</v>
      </c>
      <c r="AG20" s="105" t="s">
        <v>70</v>
      </c>
      <c r="AM20" s="108">
        <f>F20*AE20</f>
        <v>0</v>
      </c>
      <c r="AN20" s="108">
        <f>F20*AF20</f>
        <v>0</v>
      </c>
      <c r="AO20" s="109" t="s">
        <v>270</v>
      </c>
      <c r="AP20" s="109" t="s">
        <v>281</v>
      </c>
      <c r="AQ20" s="100" t="s">
        <v>284</v>
      </c>
      <c r="AS20" s="108">
        <f>AM20+AN20</f>
        <v>0</v>
      </c>
      <c r="AT20" s="108">
        <f>G20/(100-AU20)*100</f>
        <v>0</v>
      </c>
      <c r="AU20" s="108">
        <v>0</v>
      </c>
      <c r="AV20" s="108">
        <f>L20</f>
        <v>0.72</v>
      </c>
    </row>
    <row r="21" spans="3:13" ht="25.5" customHeight="1">
      <c r="C21" s="78" t="s">
        <v>112</v>
      </c>
      <c r="D21" s="81" t="s">
        <v>168</v>
      </c>
      <c r="E21" s="85"/>
      <c r="F21" s="85"/>
      <c r="G21" s="85"/>
      <c r="H21" s="85"/>
      <c r="I21" s="85"/>
      <c r="J21" s="85"/>
      <c r="K21" s="85"/>
      <c r="L21" s="85"/>
      <c r="M21" s="85"/>
    </row>
    <row r="22" spans="1:37" ht="12.75">
      <c r="A22" s="67"/>
      <c r="B22" s="77"/>
      <c r="C22" s="77" t="s">
        <v>113</v>
      </c>
      <c r="D22" s="77" t="s">
        <v>169</v>
      </c>
      <c r="E22" s="84"/>
      <c r="F22" s="84"/>
      <c r="G22" s="84"/>
      <c r="H22" s="111">
        <f>SUM(H23:H28)</f>
        <v>0</v>
      </c>
      <c r="I22" s="111">
        <f>SUM(I23:I28)</f>
        <v>0</v>
      </c>
      <c r="J22" s="111">
        <f>H22+I22</f>
        <v>0</v>
      </c>
      <c r="K22" s="100"/>
      <c r="L22" s="111">
        <f>SUM(L23:L28)</f>
        <v>1.667</v>
      </c>
      <c r="M22" s="100"/>
      <c r="Y22" s="100"/>
      <c r="AI22" s="111">
        <f>SUM(Z23:Z28)</f>
        <v>0</v>
      </c>
      <c r="AJ22" s="111">
        <f>SUM(AA23:AA28)</f>
        <v>0</v>
      </c>
      <c r="AK22" s="111">
        <f>SUM(AB23:AB28)</f>
        <v>0</v>
      </c>
    </row>
    <row r="23" spans="1:48" ht="12.75">
      <c r="A23" s="68" t="s">
        <v>67</v>
      </c>
      <c r="B23" s="68"/>
      <c r="C23" s="68" t="s">
        <v>114</v>
      </c>
      <c r="D23" s="68" t="s">
        <v>170</v>
      </c>
      <c r="E23" s="68" t="s">
        <v>238</v>
      </c>
      <c r="F23" s="87">
        <v>60</v>
      </c>
      <c r="G23" s="87">
        <v>0</v>
      </c>
      <c r="H23" s="87">
        <f>F23*AE23</f>
        <v>0</v>
      </c>
      <c r="I23" s="87">
        <f>J23-H23</f>
        <v>0</v>
      </c>
      <c r="J23" s="87">
        <f>F23*G23</f>
        <v>0</v>
      </c>
      <c r="K23" s="87">
        <v>0.00115</v>
      </c>
      <c r="L23" s="87">
        <f>F23*K23</f>
        <v>0.069</v>
      </c>
      <c r="M23" s="105" t="s">
        <v>257</v>
      </c>
      <c r="P23" s="108">
        <f>IF(AG23="5",J23,0)</f>
        <v>0</v>
      </c>
      <c r="R23" s="108">
        <f>IF(AG23="1",H23,0)</f>
        <v>0</v>
      </c>
      <c r="S23" s="108">
        <f>IF(AG23="1",I23,0)</f>
        <v>0</v>
      </c>
      <c r="T23" s="108">
        <f>IF(AG23="7",H23,0)</f>
        <v>0</v>
      </c>
      <c r="U23" s="108">
        <f>IF(AG23="7",I23,0)</f>
        <v>0</v>
      </c>
      <c r="V23" s="108">
        <f>IF(AG23="2",H23,0)</f>
        <v>0</v>
      </c>
      <c r="W23" s="108">
        <f>IF(AG23="2",I23,0)</f>
        <v>0</v>
      </c>
      <c r="X23" s="108">
        <f>IF(AG23="0",J23,0)</f>
        <v>0</v>
      </c>
      <c r="Y23" s="100"/>
      <c r="Z23" s="87">
        <f>IF(AD23=0,J23,0)</f>
        <v>0</v>
      </c>
      <c r="AA23" s="87">
        <f>IF(AD23=15,J23,0)</f>
        <v>0</v>
      </c>
      <c r="AB23" s="87">
        <f>IF(AD23=21,J23,0)</f>
        <v>0</v>
      </c>
      <c r="AD23" s="108">
        <v>21</v>
      </c>
      <c r="AE23" s="108">
        <f>G23*0.119795221843003</f>
        <v>0</v>
      </c>
      <c r="AF23" s="108">
        <f>G23*(1-0.119795221843003)</f>
        <v>0</v>
      </c>
      <c r="AG23" s="105" t="s">
        <v>64</v>
      </c>
      <c r="AM23" s="108">
        <f>F23*AE23</f>
        <v>0</v>
      </c>
      <c r="AN23" s="108">
        <f>F23*AF23</f>
        <v>0</v>
      </c>
      <c r="AO23" s="109" t="s">
        <v>271</v>
      </c>
      <c r="AP23" s="109" t="s">
        <v>282</v>
      </c>
      <c r="AQ23" s="100" t="s">
        <v>284</v>
      </c>
      <c r="AS23" s="108">
        <f>AM23+AN23</f>
        <v>0</v>
      </c>
      <c r="AT23" s="108">
        <f>G23/(100-AU23)*100</f>
        <v>0</v>
      </c>
      <c r="AU23" s="108">
        <v>0</v>
      </c>
      <c r="AV23" s="108">
        <f>L23</f>
        <v>0.069</v>
      </c>
    </row>
    <row r="24" spans="3:13" ht="12.75">
      <c r="C24" s="78" t="s">
        <v>112</v>
      </c>
      <c r="D24" s="81" t="s">
        <v>171</v>
      </c>
      <c r="E24" s="85"/>
      <c r="F24" s="85"/>
      <c r="G24" s="85"/>
      <c r="H24" s="85"/>
      <c r="I24" s="85"/>
      <c r="J24" s="85"/>
      <c r="K24" s="85"/>
      <c r="L24" s="85"/>
      <c r="M24" s="85"/>
    </row>
    <row r="25" spans="1:48" ht="12.75">
      <c r="A25" s="68" t="s">
        <v>68</v>
      </c>
      <c r="B25" s="68"/>
      <c r="C25" s="68" t="s">
        <v>115</v>
      </c>
      <c r="D25" s="68" t="s">
        <v>172</v>
      </c>
      <c r="E25" s="68" t="s">
        <v>239</v>
      </c>
      <c r="F25" s="87">
        <v>0.6</v>
      </c>
      <c r="G25" s="87">
        <v>0</v>
      </c>
      <c r="H25" s="87">
        <f>F25*AE25</f>
        <v>0</v>
      </c>
      <c r="I25" s="87">
        <f>J25-H25</f>
        <v>0</v>
      </c>
      <c r="J25" s="87">
        <f>F25*G25</f>
        <v>0</v>
      </c>
      <c r="K25" s="87">
        <v>0</v>
      </c>
      <c r="L25" s="87">
        <f>F25*K25</f>
        <v>0</v>
      </c>
      <c r="M25" s="105" t="s">
        <v>257</v>
      </c>
      <c r="P25" s="108">
        <f>IF(AG25="5",J25,0)</f>
        <v>0</v>
      </c>
      <c r="R25" s="108">
        <f>IF(AG25="1",H25,0)</f>
        <v>0</v>
      </c>
      <c r="S25" s="108">
        <f>IF(AG25="1",I25,0)</f>
        <v>0</v>
      </c>
      <c r="T25" s="108">
        <f>IF(AG25="7",H25,0)</f>
        <v>0</v>
      </c>
      <c r="U25" s="108">
        <f>IF(AG25="7",I25,0)</f>
        <v>0</v>
      </c>
      <c r="V25" s="108">
        <f>IF(AG25="2",H25,0)</f>
        <v>0</v>
      </c>
      <c r="W25" s="108">
        <f>IF(AG25="2",I25,0)</f>
        <v>0</v>
      </c>
      <c r="X25" s="108">
        <f>IF(AG25="0",J25,0)</f>
        <v>0</v>
      </c>
      <c r="Y25" s="100"/>
      <c r="Z25" s="87">
        <f>IF(AD25=0,J25,0)</f>
        <v>0</v>
      </c>
      <c r="AA25" s="87">
        <f>IF(AD25=15,J25,0)</f>
        <v>0</v>
      </c>
      <c r="AB25" s="87">
        <f>IF(AD25=21,J25,0)</f>
        <v>0</v>
      </c>
      <c r="AD25" s="108">
        <v>21</v>
      </c>
      <c r="AE25" s="108">
        <f>G25*0</f>
        <v>0</v>
      </c>
      <c r="AF25" s="108">
        <f>G25*(1-0)</f>
        <v>0</v>
      </c>
      <c r="AG25" s="105" t="s">
        <v>64</v>
      </c>
      <c r="AM25" s="108">
        <f>F25*AE25</f>
        <v>0</v>
      </c>
      <c r="AN25" s="108">
        <f>F25*AF25</f>
        <v>0</v>
      </c>
      <c r="AO25" s="109" t="s">
        <v>271</v>
      </c>
      <c r="AP25" s="109" t="s">
        <v>282</v>
      </c>
      <c r="AQ25" s="100" t="s">
        <v>284</v>
      </c>
      <c r="AS25" s="108">
        <f>AM25+AN25</f>
        <v>0</v>
      </c>
      <c r="AT25" s="108">
        <f>G25/(100-AU25)*100</f>
        <v>0</v>
      </c>
      <c r="AU25" s="108">
        <v>0</v>
      </c>
      <c r="AV25" s="108">
        <f>L25</f>
        <v>0</v>
      </c>
    </row>
    <row r="26" spans="1:48" ht="12.75">
      <c r="A26" s="68" t="s">
        <v>69</v>
      </c>
      <c r="B26" s="68"/>
      <c r="C26" s="68" t="s">
        <v>116</v>
      </c>
      <c r="D26" s="68" t="s">
        <v>173</v>
      </c>
      <c r="E26" s="68" t="s">
        <v>240</v>
      </c>
      <c r="F26" s="87">
        <v>100</v>
      </c>
      <c r="G26" s="87">
        <v>0</v>
      </c>
      <c r="H26" s="87">
        <f>F26*AE26</f>
        <v>0</v>
      </c>
      <c r="I26" s="87">
        <f>J26-H26</f>
        <v>0</v>
      </c>
      <c r="J26" s="87">
        <f>F26*G26</f>
        <v>0</v>
      </c>
      <c r="K26" s="87">
        <v>0.00249</v>
      </c>
      <c r="L26" s="87">
        <f>F26*K26</f>
        <v>0.249</v>
      </c>
      <c r="M26" s="105" t="s">
        <v>257</v>
      </c>
      <c r="P26" s="108">
        <f>IF(AG26="5",J26,0)</f>
        <v>0</v>
      </c>
      <c r="R26" s="108">
        <f>IF(AG26="1",H26,0)</f>
        <v>0</v>
      </c>
      <c r="S26" s="108">
        <f>IF(AG26="1",I26,0)</f>
        <v>0</v>
      </c>
      <c r="T26" s="108">
        <f>IF(AG26="7",H26,0)</f>
        <v>0</v>
      </c>
      <c r="U26" s="108">
        <f>IF(AG26="7",I26,0)</f>
        <v>0</v>
      </c>
      <c r="V26" s="108">
        <f>IF(AG26="2",H26,0)</f>
        <v>0</v>
      </c>
      <c r="W26" s="108">
        <f>IF(AG26="2",I26,0)</f>
        <v>0</v>
      </c>
      <c r="X26" s="108">
        <f>IF(AG26="0",J26,0)</f>
        <v>0</v>
      </c>
      <c r="Y26" s="100"/>
      <c r="Z26" s="87">
        <f>IF(AD26=0,J26,0)</f>
        <v>0</v>
      </c>
      <c r="AA26" s="87">
        <f>IF(AD26=15,J26,0)</f>
        <v>0</v>
      </c>
      <c r="AB26" s="87">
        <f>IF(AD26=21,J26,0)</f>
        <v>0</v>
      </c>
      <c r="AD26" s="108">
        <v>21</v>
      </c>
      <c r="AE26" s="108">
        <f>G26*0.209302325581395</f>
        <v>0</v>
      </c>
      <c r="AF26" s="108">
        <f>G26*(1-0.209302325581395)</f>
        <v>0</v>
      </c>
      <c r="AG26" s="105" t="s">
        <v>64</v>
      </c>
      <c r="AM26" s="108">
        <f>F26*AE26</f>
        <v>0</v>
      </c>
      <c r="AN26" s="108">
        <f>F26*AF26</f>
        <v>0</v>
      </c>
      <c r="AO26" s="109" t="s">
        <v>271</v>
      </c>
      <c r="AP26" s="109" t="s">
        <v>282</v>
      </c>
      <c r="AQ26" s="100" t="s">
        <v>284</v>
      </c>
      <c r="AS26" s="108">
        <f>AM26+AN26</f>
        <v>0</v>
      </c>
      <c r="AT26" s="108">
        <f>G26/(100-AU26)*100</f>
        <v>0</v>
      </c>
      <c r="AU26" s="108">
        <v>0</v>
      </c>
      <c r="AV26" s="108">
        <f>L26</f>
        <v>0.249</v>
      </c>
    </row>
    <row r="27" spans="3:13" ht="12.75">
      <c r="C27" s="78" t="s">
        <v>112</v>
      </c>
      <c r="D27" s="81" t="s">
        <v>174</v>
      </c>
      <c r="E27" s="85"/>
      <c r="F27" s="85"/>
      <c r="G27" s="85"/>
      <c r="H27" s="85"/>
      <c r="I27" s="85"/>
      <c r="J27" s="85"/>
      <c r="K27" s="85"/>
      <c r="L27" s="85"/>
      <c r="M27" s="85"/>
    </row>
    <row r="28" spans="1:48" ht="12.75">
      <c r="A28" s="68" t="s">
        <v>70</v>
      </c>
      <c r="B28" s="68"/>
      <c r="C28" s="68" t="s">
        <v>117</v>
      </c>
      <c r="D28" s="68" t="s">
        <v>175</v>
      </c>
      <c r="E28" s="68" t="s">
        <v>240</v>
      </c>
      <c r="F28" s="87">
        <v>100</v>
      </c>
      <c r="G28" s="87">
        <v>0</v>
      </c>
      <c r="H28" s="87">
        <f>F28*AE28</f>
        <v>0</v>
      </c>
      <c r="I28" s="87">
        <f>J28-H28</f>
        <v>0</v>
      </c>
      <c r="J28" s="87">
        <f>F28*G28</f>
        <v>0</v>
      </c>
      <c r="K28" s="87">
        <v>0.01349</v>
      </c>
      <c r="L28" s="87">
        <f>F28*K28</f>
        <v>1.349</v>
      </c>
      <c r="M28" s="105" t="s">
        <v>257</v>
      </c>
      <c r="P28" s="108">
        <f>IF(AG28="5",J28,0)</f>
        <v>0</v>
      </c>
      <c r="R28" s="108">
        <f>IF(AG28="1",H28,0)</f>
        <v>0</v>
      </c>
      <c r="S28" s="108">
        <f>IF(AG28="1",I28,0)</f>
        <v>0</v>
      </c>
      <c r="T28" s="108">
        <f>IF(AG28="7",H28,0)</f>
        <v>0</v>
      </c>
      <c r="U28" s="108">
        <f>IF(AG28="7",I28,0)</f>
        <v>0</v>
      </c>
      <c r="V28" s="108">
        <f>IF(AG28="2",H28,0)</f>
        <v>0</v>
      </c>
      <c r="W28" s="108">
        <f>IF(AG28="2",I28,0)</f>
        <v>0</v>
      </c>
      <c r="X28" s="108">
        <f>IF(AG28="0",J28,0)</f>
        <v>0</v>
      </c>
      <c r="Y28" s="100"/>
      <c r="Z28" s="87">
        <f>IF(AD28=0,J28,0)</f>
        <v>0</v>
      </c>
      <c r="AA28" s="87">
        <f>IF(AD28=15,J28,0)</f>
        <v>0</v>
      </c>
      <c r="AB28" s="87">
        <f>IF(AD28=21,J28,0)</f>
        <v>0</v>
      </c>
      <c r="AD28" s="108">
        <v>21</v>
      </c>
      <c r="AE28" s="108">
        <f>G28*0.123157894736842</f>
        <v>0</v>
      </c>
      <c r="AF28" s="108">
        <f>G28*(1-0.123157894736842)</f>
        <v>0</v>
      </c>
      <c r="AG28" s="105" t="s">
        <v>64</v>
      </c>
      <c r="AM28" s="108">
        <f>F28*AE28</f>
        <v>0</v>
      </c>
      <c r="AN28" s="108">
        <f>F28*AF28</f>
        <v>0</v>
      </c>
      <c r="AO28" s="109" t="s">
        <v>271</v>
      </c>
      <c r="AP28" s="109" t="s">
        <v>282</v>
      </c>
      <c r="AQ28" s="100" t="s">
        <v>284</v>
      </c>
      <c r="AS28" s="108">
        <f>AM28+AN28</f>
        <v>0</v>
      </c>
      <c r="AT28" s="108">
        <f>G28/(100-AU28)*100</f>
        <v>0</v>
      </c>
      <c r="AU28" s="108">
        <v>0</v>
      </c>
      <c r="AV28" s="108">
        <f>L28</f>
        <v>1.349</v>
      </c>
    </row>
    <row r="29" spans="3:13" ht="12.75">
      <c r="C29" s="78" t="s">
        <v>112</v>
      </c>
      <c r="D29" s="81" t="s">
        <v>174</v>
      </c>
      <c r="E29" s="85"/>
      <c r="F29" s="85"/>
      <c r="G29" s="85"/>
      <c r="H29" s="85"/>
      <c r="I29" s="85"/>
      <c r="J29" s="85"/>
      <c r="K29" s="85"/>
      <c r="L29" s="85"/>
      <c r="M29" s="85"/>
    </row>
    <row r="30" spans="1:37" ht="12.75">
      <c r="A30" s="67"/>
      <c r="B30" s="77"/>
      <c r="C30" s="77" t="s">
        <v>118</v>
      </c>
      <c r="D30" s="77" t="s">
        <v>176</v>
      </c>
      <c r="E30" s="84"/>
      <c r="F30" s="84"/>
      <c r="G30" s="84"/>
      <c r="H30" s="111">
        <f>SUM(H31:H34)</f>
        <v>0</v>
      </c>
      <c r="I30" s="111">
        <f>SUM(I31:I34)</f>
        <v>0</v>
      </c>
      <c r="J30" s="111">
        <f>H30+I30</f>
        <v>0</v>
      </c>
      <c r="K30" s="100"/>
      <c r="L30" s="111">
        <f>SUM(L31:L34)</f>
        <v>0</v>
      </c>
      <c r="M30" s="100"/>
      <c r="Y30" s="100"/>
      <c r="AI30" s="111">
        <f>SUM(Z31:Z34)</f>
        <v>0</v>
      </c>
      <c r="AJ30" s="111">
        <f>SUM(AA31:AA34)</f>
        <v>0</v>
      </c>
      <c r="AK30" s="111">
        <f>SUM(AB31:AB34)</f>
        <v>0</v>
      </c>
    </row>
    <row r="31" spans="1:48" ht="12.75">
      <c r="A31" s="68" t="s">
        <v>71</v>
      </c>
      <c r="B31" s="68"/>
      <c r="C31" s="68" t="s">
        <v>119</v>
      </c>
      <c r="D31" s="68" t="s">
        <v>177</v>
      </c>
      <c r="E31" s="68" t="s">
        <v>241</v>
      </c>
      <c r="F31" s="87">
        <v>2000</v>
      </c>
      <c r="G31" s="87">
        <v>0</v>
      </c>
      <c r="H31" s="87">
        <f>F31*AE31</f>
        <v>0</v>
      </c>
      <c r="I31" s="87">
        <f>J31-H31</f>
        <v>0</v>
      </c>
      <c r="J31" s="87">
        <f>F31*G31</f>
        <v>0</v>
      </c>
      <c r="K31" s="87">
        <v>0</v>
      </c>
      <c r="L31" s="87">
        <f>F31*K31</f>
        <v>0</v>
      </c>
      <c r="M31" s="105" t="s">
        <v>257</v>
      </c>
      <c r="P31" s="108">
        <f>IF(AG31="5",J31,0)</f>
        <v>0</v>
      </c>
      <c r="R31" s="108">
        <f>IF(AG31="1",H31,0)</f>
        <v>0</v>
      </c>
      <c r="S31" s="108">
        <f>IF(AG31="1",I31,0)</f>
        <v>0</v>
      </c>
      <c r="T31" s="108">
        <f>IF(AG31="7",H31,0)</f>
        <v>0</v>
      </c>
      <c r="U31" s="108">
        <f>IF(AG31="7",I31,0)</f>
        <v>0</v>
      </c>
      <c r="V31" s="108">
        <f>IF(AG31="2",H31,0)</f>
        <v>0</v>
      </c>
      <c r="W31" s="108">
        <f>IF(AG31="2",I31,0)</f>
        <v>0</v>
      </c>
      <c r="X31" s="108">
        <f>IF(AG31="0",J31,0)</f>
        <v>0</v>
      </c>
      <c r="Y31" s="100"/>
      <c r="Z31" s="87">
        <f>IF(AD31=0,J31,0)</f>
        <v>0</v>
      </c>
      <c r="AA31" s="87">
        <f>IF(AD31=15,J31,0)</f>
        <v>0</v>
      </c>
      <c r="AB31" s="87">
        <f>IF(AD31=21,J31,0)</f>
        <v>0</v>
      </c>
      <c r="AD31" s="108">
        <v>21</v>
      </c>
      <c r="AE31" s="108">
        <f>G31*0</f>
        <v>0</v>
      </c>
      <c r="AF31" s="108">
        <f>G31*(1-0)</f>
        <v>0</v>
      </c>
      <c r="AG31" s="105" t="s">
        <v>65</v>
      </c>
      <c r="AM31" s="108">
        <f>F31*AE31</f>
        <v>0</v>
      </c>
      <c r="AN31" s="108">
        <f>F31*AF31</f>
        <v>0</v>
      </c>
      <c r="AO31" s="109" t="s">
        <v>272</v>
      </c>
      <c r="AP31" s="109" t="s">
        <v>282</v>
      </c>
      <c r="AQ31" s="100" t="s">
        <v>284</v>
      </c>
      <c r="AS31" s="108">
        <f>AM31+AN31</f>
        <v>0</v>
      </c>
      <c r="AT31" s="108">
        <f>G31/(100-AU31)*100</f>
        <v>0</v>
      </c>
      <c r="AU31" s="108">
        <v>0</v>
      </c>
      <c r="AV31" s="108">
        <f>L31</f>
        <v>0</v>
      </c>
    </row>
    <row r="32" spans="3:13" ht="63.75" customHeight="1">
      <c r="C32" s="78" t="s">
        <v>112</v>
      </c>
      <c r="D32" s="81" t="s">
        <v>178</v>
      </c>
      <c r="E32" s="85"/>
      <c r="F32" s="85"/>
      <c r="G32" s="85"/>
      <c r="H32" s="85"/>
      <c r="I32" s="85"/>
      <c r="J32" s="85"/>
      <c r="K32" s="85"/>
      <c r="L32" s="85"/>
      <c r="M32" s="85"/>
    </row>
    <row r="33" spans="4:13" ht="51" customHeight="1">
      <c r="D33" s="81" t="s">
        <v>179</v>
      </c>
      <c r="E33" s="85"/>
      <c r="F33" s="85"/>
      <c r="G33" s="85"/>
      <c r="H33" s="85"/>
      <c r="I33" s="85"/>
      <c r="J33" s="85"/>
      <c r="K33" s="85"/>
      <c r="L33" s="85"/>
      <c r="M33" s="85"/>
    </row>
    <row r="34" spans="1:48" ht="12.75">
      <c r="A34" s="68" t="s">
        <v>72</v>
      </c>
      <c r="B34" s="68"/>
      <c r="C34" s="68" t="s">
        <v>120</v>
      </c>
      <c r="D34" s="68" t="s">
        <v>180</v>
      </c>
      <c r="E34" s="68" t="s">
        <v>241</v>
      </c>
      <c r="F34" s="87">
        <v>2000</v>
      </c>
      <c r="G34" s="87">
        <v>0</v>
      </c>
      <c r="H34" s="87">
        <f>F34*AE34</f>
        <v>0</v>
      </c>
      <c r="I34" s="87">
        <f>J34-H34</f>
        <v>0</v>
      </c>
      <c r="J34" s="87">
        <f>F34*G34</f>
        <v>0</v>
      </c>
      <c r="K34" s="87">
        <v>0</v>
      </c>
      <c r="L34" s="87">
        <f>F34*K34</f>
        <v>0</v>
      </c>
      <c r="M34" s="105" t="s">
        <v>257</v>
      </c>
      <c r="P34" s="108">
        <f>IF(AG34="5",J34,0)</f>
        <v>0</v>
      </c>
      <c r="R34" s="108">
        <f>IF(AG34="1",H34,0)</f>
        <v>0</v>
      </c>
      <c r="S34" s="108">
        <f>IF(AG34="1",I34,0)</f>
        <v>0</v>
      </c>
      <c r="T34" s="108">
        <f>IF(AG34="7",H34,0)</f>
        <v>0</v>
      </c>
      <c r="U34" s="108">
        <f>IF(AG34="7",I34,0)</f>
        <v>0</v>
      </c>
      <c r="V34" s="108">
        <f>IF(AG34="2",H34,0)</f>
        <v>0</v>
      </c>
      <c r="W34" s="108">
        <f>IF(AG34="2",I34,0)</f>
        <v>0</v>
      </c>
      <c r="X34" s="108">
        <f>IF(AG34="0",J34,0)</f>
        <v>0</v>
      </c>
      <c r="Y34" s="100"/>
      <c r="Z34" s="87">
        <f>IF(AD34=0,J34,0)</f>
        <v>0</v>
      </c>
      <c r="AA34" s="87">
        <f>IF(AD34=15,J34,0)</f>
        <v>0</v>
      </c>
      <c r="AB34" s="87">
        <f>IF(AD34=21,J34,0)</f>
        <v>0</v>
      </c>
      <c r="AD34" s="108">
        <v>21</v>
      </c>
      <c r="AE34" s="108">
        <f>G34*0</f>
        <v>0</v>
      </c>
      <c r="AF34" s="108">
        <f>G34*(1-0)</f>
        <v>0</v>
      </c>
      <c r="AG34" s="105" t="s">
        <v>65</v>
      </c>
      <c r="AM34" s="108">
        <f>F34*AE34</f>
        <v>0</v>
      </c>
      <c r="AN34" s="108">
        <f>F34*AF34</f>
        <v>0</v>
      </c>
      <c r="AO34" s="109" t="s">
        <v>272</v>
      </c>
      <c r="AP34" s="109" t="s">
        <v>282</v>
      </c>
      <c r="AQ34" s="100" t="s">
        <v>284</v>
      </c>
      <c r="AS34" s="108">
        <f>AM34+AN34</f>
        <v>0</v>
      </c>
      <c r="AT34" s="108">
        <f>G34/(100-AU34)*100</f>
        <v>0</v>
      </c>
      <c r="AU34" s="108">
        <v>0</v>
      </c>
      <c r="AV34" s="108">
        <f>L34</f>
        <v>0</v>
      </c>
    </row>
    <row r="35" spans="3:13" ht="12.75">
      <c r="C35" s="78" t="s">
        <v>112</v>
      </c>
      <c r="D35" s="81" t="s">
        <v>181</v>
      </c>
      <c r="E35" s="85"/>
      <c r="F35" s="85"/>
      <c r="G35" s="85"/>
      <c r="H35" s="85"/>
      <c r="I35" s="85"/>
      <c r="J35" s="85"/>
      <c r="K35" s="85"/>
      <c r="L35" s="85"/>
      <c r="M35" s="85"/>
    </row>
    <row r="36" spans="1:37" ht="12.75">
      <c r="A36" s="67"/>
      <c r="B36" s="77"/>
      <c r="C36" s="77" t="s">
        <v>121</v>
      </c>
      <c r="D36" s="77" t="s">
        <v>182</v>
      </c>
      <c r="E36" s="84"/>
      <c r="F36" s="84"/>
      <c r="G36" s="84"/>
      <c r="H36" s="111">
        <f>SUM(H37:H74)</f>
        <v>0</v>
      </c>
      <c r="I36" s="111">
        <f>SUM(I37:I74)</f>
        <v>0</v>
      </c>
      <c r="J36" s="111">
        <f>H36+I36</f>
        <v>0</v>
      </c>
      <c r="K36" s="100"/>
      <c r="L36" s="111">
        <f>SUM(L37:L74)</f>
        <v>0.46939000000000003</v>
      </c>
      <c r="M36" s="100"/>
      <c r="Y36" s="100"/>
      <c r="AI36" s="111">
        <f>SUM(Z37:Z74)</f>
        <v>0</v>
      </c>
      <c r="AJ36" s="111">
        <f>SUM(AA37:AA74)</f>
        <v>0</v>
      </c>
      <c r="AK36" s="111">
        <f>SUM(AB37:AB74)</f>
        <v>0</v>
      </c>
    </row>
    <row r="37" spans="1:48" ht="12.75">
      <c r="A37" s="68" t="s">
        <v>73</v>
      </c>
      <c r="B37" s="68"/>
      <c r="C37" s="68" t="s">
        <v>122</v>
      </c>
      <c r="D37" s="68" t="s">
        <v>183</v>
      </c>
      <c r="E37" s="68" t="s">
        <v>238</v>
      </c>
      <c r="F37" s="87">
        <v>60</v>
      </c>
      <c r="G37" s="87">
        <v>0</v>
      </c>
      <c r="H37" s="87">
        <f>F37*AE37</f>
        <v>0</v>
      </c>
      <c r="I37" s="87">
        <f>J37-H37</f>
        <v>0</v>
      </c>
      <c r="J37" s="87">
        <f>F37*G37</f>
        <v>0</v>
      </c>
      <c r="K37" s="87">
        <v>3E-05</v>
      </c>
      <c r="L37" s="87">
        <f>F37*K37</f>
        <v>0.0018</v>
      </c>
      <c r="M37" s="105" t="s">
        <v>257</v>
      </c>
      <c r="P37" s="108">
        <f>IF(AG37="5",J37,0)</f>
        <v>0</v>
      </c>
      <c r="R37" s="108">
        <f>IF(AG37="1",H37,0)</f>
        <v>0</v>
      </c>
      <c r="S37" s="108">
        <f>IF(AG37="1",I37,0)</f>
        <v>0</v>
      </c>
      <c r="T37" s="108">
        <f>IF(AG37="7",H37,0)</f>
        <v>0</v>
      </c>
      <c r="U37" s="108">
        <f>IF(AG37="7",I37,0)</f>
        <v>0</v>
      </c>
      <c r="V37" s="108">
        <f>IF(AG37="2",H37,0)</f>
        <v>0</v>
      </c>
      <c r="W37" s="108">
        <f>IF(AG37="2",I37,0)</f>
        <v>0</v>
      </c>
      <c r="X37" s="108">
        <f>IF(AG37="0",J37,0)</f>
        <v>0</v>
      </c>
      <c r="Y37" s="100"/>
      <c r="Z37" s="87">
        <f>IF(AD37=0,J37,0)</f>
        <v>0</v>
      </c>
      <c r="AA37" s="87">
        <f>IF(AD37=15,J37,0)</f>
        <v>0</v>
      </c>
      <c r="AB37" s="87">
        <f>IF(AD37=21,J37,0)</f>
        <v>0</v>
      </c>
      <c r="AD37" s="108">
        <v>21</v>
      </c>
      <c r="AE37" s="108">
        <f>G37*0.100175131348511</f>
        <v>0</v>
      </c>
      <c r="AF37" s="108">
        <f>G37*(1-0.100175131348511)</f>
        <v>0</v>
      </c>
      <c r="AG37" s="105" t="s">
        <v>65</v>
      </c>
      <c r="AM37" s="108">
        <f>F37*AE37</f>
        <v>0</v>
      </c>
      <c r="AN37" s="108">
        <f>F37*AF37</f>
        <v>0</v>
      </c>
      <c r="AO37" s="109" t="s">
        <v>273</v>
      </c>
      <c r="AP37" s="109" t="s">
        <v>282</v>
      </c>
      <c r="AQ37" s="100" t="s">
        <v>284</v>
      </c>
      <c r="AS37" s="108">
        <f>AM37+AN37</f>
        <v>0</v>
      </c>
      <c r="AT37" s="108">
        <f>G37/(100-AU37)*100</f>
        <v>0</v>
      </c>
      <c r="AU37" s="108">
        <v>0</v>
      </c>
      <c r="AV37" s="108">
        <f>L37</f>
        <v>0.0018</v>
      </c>
    </row>
    <row r="38" ht="12.75">
      <c r="D38" s="80" t="s">
        <v>184</v>
      </c>
    </row>
    <row r="39" spans="3:13" ht="12.75">
      <c r="C39" s="78" t="s">
        <v>112</v>
      </c>
      <c r="D39" s="81" t="s">
        <v>185</v>
      </c>
      <c r="E39" s="85"/>
      <c r="F39" s="85"/>
      <c r="G39" s="85"/>
      <c r="H39" s="85"/>
      <c r="I39" s="85"/>
      <c r="J39" s="85"/>
      <c r="K39" s="85"/>
      <c r="L39" s="85"/>
      <c r="M39" s="85"/>
    </row>
    <row r="40" spans="1:48" ht="12.75">
      <c r="A40" s="68" t="s">
        <v>74</v>
      </c>
      <c r="B40" s="68"/>
      <c r="C40" s="68" t="s">
        <v>123</v>
      </c>
      <c r="D40" s="68" t="s">
        <v>186</v>
      </c>
      <c r="E40" s="68" t="s">
        <v>238</v>
      </c>
      <c r="F40" s="87">
        <v>15</v>
      </c>
      <c r="G40" s="87">
        <v>0</v>
      </c>
      <c r="H40" s="87">
        <f>F40*AE40</f>
        <v>0</v>
      </c>
      <c r="I40" s="87">
        <f>J40-H40</f>
        <v>0</v>
      </c>
      <c r="J40" s="87">
        <f>F40*G40</f>
        <v>0</v>
      </c>
      <c r="K40" s="87">
        <v>0.00032</v>
      </c>
      <c r="L40" s="87">
        <f>F40*K40</f>
        <v>0.0048000000000000004</v>
      </c>
      <c r="M40" s="105" t="s">
        <v>257</v>
      </c>
      <c r="P40" s="108">
        <f>IF(AG40="5",J40,0)</f>
        <v>0</v>
      </c>
      <c r="R40" s="108">
        <f>IF(AG40="1",H40,0)</f>
        <v>0</v>
      </c>
      <c r="S40" s="108">
        <f>IF(AG40="1",I40,0)</f>
        <v>0</v>
      </c>
      <c r="T40" s="108">
        <f>IF(AG40="7",H40,0)</f>
        <v>0</v>
      </c>
      <c r="U40" s="108">
        <f>IF(AG40="7",I40,0)</f>
        <v>0</v>
      </c>
      <c r="V40" s="108">
        <f>IF(AG40="2",H40,0)</f>
        <v>0</v>
      </c>
      <c r="W40" s="108">
        <f>IF(AG40="2",I40,0)</f>
        <v>0</v>
      </c>
      <c r="X40" s="108">
        <f>IF(AG40="0",J40,0)</f>
        <v>0</v>
      </c>
      <c r="Y40" s="100"/>
      <c r="Z40" s="87">
        <f>IF(AD40=0,J40,0)</f>
        <v>0</v>
      </c>
      <c r="AA40" s="87">
        <f>IF(AD40=15,J40,0)</f>
        <v>0</v>
      </c>
      <c r="AB40" s="87">
        <f>IF(AD40=21,J40,0)</f>
        <v>0</v>
      </c>
      <c r="AD40" s="108">
        <v>21</v>
      </c>
      <c r="AE40" s="108">
        <f>G40*0.30371104815864</f>
        <v>0</v>
      </c>
      <c r="AF40" s="108">
        <f>G40*(1-0.30371104815864)</f>
        <v>0</v>
      </c>
      <c r="AG40" s="105" t="s">
        <v>65</v>
      </c>
      <c r="AM40" s="108">
        <f>F40*AE40</f>
        <v>0</v>
      </c>
      <c r="AN40" s="108">
        <f>F40*AF40</f>
        <v>0</v>
      </c>
      <c r="AO40" s="109" t="s">
        <v>273</v>
      </c>
      <c r="AP40" s="109" t="s">
        <v>282</v>
      </c>
      <c r="AQ40" s="100" t="s">
        <v>284</v>
      </c>
      <c r="AS40" s="108">
        <f>AM40+AN40</f>
        <v>0</v>
      </c>
      <c r="AT40" s="108">
        <f>G40/(100-AU40)*100</f>
        <v>0</v>
      </c>
      <c r="AU40" s="108">
        <v>0</v>
      </c>
      <c r="AV40" s="108">
        <f>L40</f>
        <v>0.0048000000000000004</v>
      </c>
    </row>
    <row r="41" ht="12.75">
      <c r="D41" s="80" t="s">
        <v>187</v>
      </c>
    </row>
    <row r="42" spans="1:48" ht="12.75">
      <c r="A42" s="68" t="s">
        <v>75</v>
      </c>
      <c r="B42" s="68"/>
      <c r="C42" s="68" t="s">
        <v>124</v>
      </c>
      <c r="D42" s="68" t="s">
        <v>188</v>
      </c>
      <c r="E42" s="68" t="s">
        <v>238</v>
      </c>
      <c r="F42" s="87">
        <v>17</v>
      </c>
      <c r="G42" s="87">
        <v>0</v>
      </c>
      <c r="H42" s="87">
        <f>F42*AE42</f>
        <v>0</v>
      </c>
      <c r="I42" s="87">
        <f>J42-H42</f>
        <v>0</v>
      </c>
      <c r="J42" s="87">
        <f>F42*G42</f>
        <v>0</v>
      </c>
      <c r="K42" s="87">
        <v>0.00011</v>
      </c>
      <c r="L42" s="87">
        <f>F42*K42</f>
        <v>0.0018700000000000001</v>
      </c>
      <c r="M42" s="105" t="s">
        <v>257</v>
      </c>
      <c r="P42" s="108">
        <f>IF(AG42="5",J42,0)</f>
        <v>0</v>
      </c>
      <c r="R42" s="108">
        <f>IF(AG42="1",H42,0)</f>
        <v>0</v>
      </c>
      <c r="S42" s="108">
        <f>IF(AG42="1",I42,0)</f>
        <v>0</v>
      </c>
      <c r="T42" s="108">
        <f>IF(AG42="7",H42,0)</f>
        <v>0</v>
      </c>
      <c r="U42" s="108">
        <f>IF(AG42="7",I42,0)</f>
        <v>0</v>
      </c>
      <c r="V42" s="108">
        <f>IF(AG42="2",H42,0)</f>
        <v>0</v>
      </c>
      <c r="W42" s="108">
        <f>IF(AG42="2",I42,0)</f>
        <v>0</v>
      </c>
      <c r="X42" s="108">
        <f>IF(AG42="0",J42,0)</f>
        <v>0</v>
      </c>
      <c r="Y42" s="100"/>
      <c r="Z42" s="87">
        <f>IF(AD42=0,J42,0)</f>
        <v>0</v>
      </c>
      <c r="AA42" s="87">
        <f>IF(AD42=15,J42,0)</f>
        <v>0</v>
      </c>
      <c r="AB42" s="87">
        <f>IF(AD42=21,J42,0)</f>
        <v>0</v>
      </c>
      <c r="AD42" s="108">
        <v>21</v>
      </c>
      <c r="AE42" s="108">
        <f>G42*0.74010989010989</f>
        <v>0</v>
      </c>
      <c r="AF42" s="108">
        <f>G42*(1-0.74010989010989)</f>
        <v>0</v>
      </c>
      <c r="AG42" s="105" t="s">
        <v>65</v>
      </c>
      <c r="AM42" s="108">
        <f>F42*AE42</f>
        <v>0</v>
      </c>
      <c r="AN42" s="108">
        <f>F42*AF42</f>
        <v>0</v>
      </c>
      <c r="AO42" s="109" t="s">
        <v>273</v>
      </c>
      <c r="AP42" s="109" t="s">
        <v>282</v>
      </c>
      <c r="AQ42" s="100" t="s">
        <v>284</v>
      </c>
      <c r="AS42" s="108">
        <f>AM42+AN42</f>
        <v>0</v>
      </c>
      <c r="AT42" s="108">
        <f>G42/(100-AU42)*100</f>
        <v>0</v>
      </c>
      <c r="AU42" s="108">
        <v>0</v>
      </c>
      <c r="AV42" s="108">
        <f>L42</f>
        <v>0.0018700000000000001</v>
      </c>
    </row>
    <row r="43" ht="12.75">
      <c r="D43" s="80" t="s">
        <v>189</v>
      </c>
    </row>
    <row r="44" spans="3:13" ht="12.75">
      <c r="C44" s="78" t="s">
        <v>112</v>
      </c>
      <c r="D44" s="81" t="s">
        <v>190</v>
      </c>
      <c r="E44" s="85"/>
      <c r="F44" s="85"/>
      <c r="G44" s="85"/>
      <c r="H44" s="85"/>
      <c r="I44" s="85"/>
      <c r="J44" s="85"/>
      <c r="K44" s="85"/>
      <c r="L44" s="85"/>
      <c r="M44" s="85"/>
    </row>
    <row r="45" spans="1:48" ht="12.75">
      <c r="A45" s="68" t="s">
        <v>76</v>
      </c>
      <c r="B45" s="68"/>
      <c r="C45" s="68" t="s">
        <v>125</v>
      </c>
      <c r="D45" s="68" t="s">
        <v>191</v>
      </c>
      <c r="E45" s="68" t="s">
        <v>238</v>
      </c>
      <c r="F45" s="87">
        <v>8</v>
      </c>
      <c r="G45" s="87">
        <v>0</v>
      </c>
      <c r="H45" s="87">
        <f>F45*AE45</f>
        <v>0</v>
      </c>
      <c r="I45" s="87">
        <f>J45-H45</f>
        <v>0</v>
      </c>
      <c r="J45" s="87">
        <f>F45*G45</f>
        <v>0</v>
      </c>
      <c r="K45" s="87">
        <v>4E-05</v>
      </c>
      <c r="L45" s="87">
        <f>F45*K45</f>
        <v>0.00032</v>
      </c>
      <c r="M45" s="105" t="s">
        <v>257</v>
      </c>
      <c r="P45" s="108">
        <f>IF(AG45="5",J45,0)</f>
        <v>0</v>
      </c>
      <c r="R45" s="108">
        <f>IF(AG45="1",H45,0)</f>
        <v>0</v>
      </c>
      <c r="S45" s="108">
        <f>IF(AG45="1",I45,0)</f>
        <v>0</v>
      </c>
      <c r="T45" s="108">
        <f>IF(AG45="7",H45,0)</f>
        <v>0</v>
      </c>
      <c r="U45" s="108">
        <f>IF(AG45="7",I45,0)</f>
        <v>0</v>
      </c>
      <c r="V45" s="108">
        <f>IF(AG45="2",H45,0)</f>
        <v>0</v>
      </c>
      <c r="W45" s="108">
        <f>IF(AG45="2",I45,0)</f>
        <v>0</v>
      </c>
      <c r="X45" s="108">
        <f>IF(AG45="0",J45,0)</f>
        <v>0</v>
      </c>
      <c r="Y45" s="100"/>
      <c r="Z45" s="87">
        <f>IF(AD45=0,J45,0)</f>
        <v>0</v>
      </c>
      <c r="AA45" s="87">
        <f>IF(AD45=15,J45,0)</f>
        <v>0</v>
      </c>
      <c r="AB45" s="87">
        <f>IF(AD45=21,J45,0)</f>
        <v>0</v>
      </c>
      <c r="AD45" s="108">
        <v>21</v>
      </c>
      <c r="AE45" s="108">
        <f>G45*0.729198473282443</f>
        <v>0</v>
      </c>
      <c r="AF45" s="108">
        <f>G45*(1-0.729198473282443)</f>
        <v>0</v>
      </c>
      <c r="AG45" s="105" t="s">
        <v>65</v>
      </c>
      <c r="AM45" s="108">
        <f>F45*AE45</f>
        <v>0</v>
      </c>
      <c r="AN45" s="108">
        <f>F45*AF45</f>
        <v>0</v>
      </c>
      <c r="AO45" s="109" t="s">
        <v>273</v>
      </c>
      <c r="AP45" s="109" t="s">
        <v>282</v>
      </c>
      <c r="AQ45" s="100" t="s">
        <v>284</v>
      </c>
      <c r="AS45" s="108">
        <f>AM45+AN45</f>
        <v>0</v>
      </c>
      <c r="AT45" s="108">
        <f>G45/(100-AU45)*100</f>
        <v>0</v>
      </c>
      <c r="AU45" s="108">
        <v>0</v>
      </c>
      <c r="AV45" s="108">
        <f>L45</f>
        <v>0.00032</v>
      </c>
    </row>
    <row r="46" ht="12.75">
      <c r="D46" s="80" t="s">
        <v>192</v>
      </c>
    </row>
    <row r="47" spans="3:13" ht="12.75">
      <c r="C47" s="78" t="s">
        <v>112</v>
      </c>
      <c r="D47" s="81" t="s">
        <v>193</v>
      </c>
      <c r="E47" s="85"/>
      <c r="F47" s="85"/>
      <c r="G47" s="85"/>
      <c r="H47" s="85"/>
      <c r="I47" s="85"/>
      <c r="J47" s="85"/>
      <c r="K47" s="85"/>
      <c r="L47" s="85"/>
      <c r="M47" s="85"/>
    </row>
    <row r="48" spans="1:48" ht="12.75">
      <c r="A48" s="68" t="s">
        <v>77</v>
      </c>
      <c r="B48" s="68"/>
      <c r="C48" s="68" t="s">
        <v>126</v>
      </c>
      <c r="D48" s="68" t="s">
        <v>194</v>
      </c>
      <c r="E48" s="68" t="s">
        <v>238</v>
      </c>
      <c r="F48" s="87">
        <v>14</v>
      </c>
      <c r="G48" s="87">
        <v>0</v>
      </c>
      <c r="H48" s="87">
        <f>F48*AE48</f>
        <v>0</v>
      </c>
      <c r="I48" s="87">
        <f>J48-H48</f>
        <v>0</v>
      </c>
      <c r="J48" s="87">
        <f>F48*G48</f>
        <v>0</v>
      </c>
      <c r="K48" s="87">
        <v>0.00011</v>
      </c>
      <c r="L48" s="87">
        <f>F48*K48</f>
        <v>0.0015400000000000001</v>
      </c>
      <c r="M48" s="105" t="s">
        <v>257</v>
      </c>
      <c r="P48" s="108">
        <f>IF(AG48="5",J48,0)</f>
        <v>0</v>
      </c>
      <c r="R48" s="108">
        <f>IF(AG48="1",H48,0)</f>
        <v>0</v>
      </c>
      <c r="S48" s="108">
        <f>IF(AG48="1",I48,0)</f>
        <v>0</v>
      </c>
      <c r="T48" s="108">
        <f>IF(AG48="7",H48,0)</f>
        <v>0</v>
      </c>
      <c r="U48" s="108">
        <f>IF(AG48="7",I48,0)</f>
        <v>0</v>
      </c>
      <c r="V48" s="108">
        <f>IF(AG48="2",H48,0)</f>
        <v>0</v>
      </c>
      <c r="W48" s="108">
        <f>IF(AG48="2",I48,0)</f>
        <v>0</v>
      </c>
      <c r="X48" s="108">
        <f>IF(AG48="0",J48,0)</f>
        <v>0</v>
      </c>
      <c r="Y48" s="100"/>
      <c r="Z48" s="87">
        <f>IF(AD48=0,J48,0)</f>
        <v>0</v>
      </c>
      <c r="AA48" s="87">
        <f>IF(AD48=15,J48,0)</f>
        <v>0</v>
      </c>
      <c r="AB48" s="87">
        <f>IF(AD48=21,J48,0)</f>
        <v>0</v>
      </c>
      <c r="AD48" s="108">
        <v>21</v>
      </c>
      <c r="AE48" s="108">
        <f>G48*0.711537485406832</f>
        <v>0</v>
      </c>
      <c r="AF48" s="108">
        <f>G48*(1-0.711537485406832)</f>
        <v>0</v>
      </c>
      <c r="AG48" s="105" t="s">
        <v>65</v>
      </c>
      <c r="AM48" s="108">
        <f>F48*AE48</f>
        <v>0</v>
      </c>
      <c r="AN48" s="108">
        <f>F48*AF48</f>
        <v>0</v>
      </c>
      <c r="AO48" s="109" t="s">
        <v>273</v>
      </c>
      <c r="AP48" s="109" t="s">
        <v>282</v>
      </c>
      <c r="AQ48" s="100" t="s">
        <v>284</v>
      </c>
      <c r="AS48" s="108">
        <f>AM48+AN48</f>
        <v>0</v>
      </c>
      <c r="AT48" s="108">
        <f>G48/(100-AU48)*100</f>
        <v>0</v>
      </c>
      <c r="AU48" s="108">
        <v>0</v>
      </c>
      <c r="AV48" s="108">
        <f>L48</f>
        <v>0.0015400000000000001</v>
      </c>
    </row>
    <row r="49" ht="12.75">
      <c r="D49" s="80" t="s">
        <v>189</v>
      </c>
    </row>
    <row r="50" spans="3:13" ht="12.75">
      <c r="C50" s="78" t="s">
        <v>112</v>
      </c>
      <c r="D50" s="81" t="s">
        <v>190</v>
      </c>
      <c r="E50" s="85"/>
      <c r="F50" s="85"/>
      <c r="G50" s="85"/>
      <c r="H50" s="85"/>
      <c r="I50" s="85"/>
      <c r="J50" s="85"/>
      <c r="K50" s="85"/>
      <c r="L50" s="85"/>
      <c r="M50" s="85"/>
    </row>
    <row r="51" spans="1:48" ht="12.75">
      <c r="A51" s="68" t="s">
        <v>78</v>
      </c>
      <c r="B51" s="68"/>
      <c r="C51" s="68" t="s">
        <v>127</v>
      </c>
      <c r="D51" s="68" t="s">
        <v>195</v>
      </c>
      <c r="E51" s="68" t="s">
        <v>238</v>
      </c>
      <c r="F51" s="87">
        <v>1</v>
      </c>
      <c r="G51" s="87">
        <v>0</v>
      </c>
      <c r="H51" s="87">
        <f>F51*AE51</f>
        <v>0</v>
      </c>
      <c r="I51" s="87">
        <f>J51-H51</f>
        <v>0</v>
      </c>
      <c r="J51" s="87">
        <f>F51*G51</f>
        <v>0</v>
      </c>
      <c r="K51" s="87">
        <v>0.00028</v>
      </c>
      <c r="L51" s="87">
        <f>F51*K51</f>
        <v>0.00028</v>
      </c>
      <c r="M51" s="105" t="s">
        <v>257</v>
      </c>
      <c r="P51" s="108">
        <f>IF(AG51="5",J51,0)</f>
        <v>0</v>
      </c>
      <c r="R51" s="108">
        <f>IF(AG51="1",H51,0)</f>
        <v>0</v>
      </c>
      <c r="S51" s="108">
        <f>IF(AG51="1",I51,0)</f>
        <v>0</v>
      </c>
      <c r="T51" s="108">
        <f>IF(AG51="7",H51,0)</f>
        <v>0</v>
      </c>
      <c r="U51" s="108">
        <f>IF(AG51="7",I51,0)</f>
        <v>0</v>
      </c>
      <c r="V51" s="108">
        <f>IF(AG51="2",H51,0)</f>
        <v>0</v>
      </c>
      <c r="W51" s="108">
        <f>IF(AG51="2",I51,0)</f>
        <v>0</v>
      </c>
      <c r="X51" s="108">
        <f>IF(AG51="0",J51,0)</f>
        <v>0</v>
      </c>
      <c r="Y51" s="100"/>
      <c r="Z51" s="87">
        <f>IF(AD51=0,J51,0)</f>
        <v>0</v>
      </c>
      <c r="AA51" s="87">
        <f>IF(AD51=15,J51,0)</f>
        <v>0</v>
      </c>
      <c r="AB51" s="87">
        <f>IF(AD51=21,J51,0)</f>
        <v>0</v>
      </c>
      <c r="AD51" s="108">
        <v>21</v>
      </c>
      <c r="AE51" s="108">
        <f>G51*0.599625167336011</f>
        <v>0</v>
      </c>
      <c r="AF51" s="108">
        <f>G51*(1-0.599625167336011)</f>
        <v>0</v>
      </c>
      <c r="AG51" s="105" t="s">
        <v>65</v>
      </c>
      <c r="AM51" s="108">
        <f>F51*AE51</f>
        <v>0</v>
      </c>
      <c r="AN51" s="108">
        <f>F51*AF51</f>
        <v>0</v>
      </c>
      <c r="AO51" s="109" t="s">
        <v>273</v>
      </c>
      <c r="AP51" s="109" t="s">
        <v>282</v>
      </c>
      <c r="AQ51" s="100" t="s">
        <v>284</v>
      </c>
      <c r="AS51" s="108">
        <f>AM51+AN51</f>
        <v>0</v>
      </c>
      <c r="AT51" s="108">
        <f>G51/(100-AU51)*100</f>
        <v>0</v>
      </c>
      <c r="AU51" s="108">
        <v>0</v>
      </c>
      <c r="AV51" s="108">
        <f>L51</f>
        <v>0.00028</v>
      </c>
    </row>
    <row r="52" ht="12.75">
      <c r="D52" s="80" t="s">
        <v>196</v>
      </c>
    </row>
    <row r="53" spans="1:48" ht="12.75">
      <c r="A53" s="68" t="s">
        <v>79</v>
      </c>
      <c r="B53" s="68"/>
      <c r="C53" s="68" t="s">
        <v>128</v>
      </c>
      <c r="D53" s="68" t="s">
        <v>197</v>
      </c>
      <c r="E53" s="68" t="s">
        <v>238</v>
      </c>
      <c r="F53" s="87">
        <v>6</v>
      </c>
      <c r="G53" s="87">
        <v>0</v>
      </c>
      <c r="H53" s="87">
        <f>F53*AE53</f>
        <v>0</v>
      </c>
      <c r="I53" s="87">
        <f>J53-H53</f>
        <v>0</v>
      </c>
      <c r="J53" s="87">
        <f>F53*G53</f>
        <v>0</v>
      </c>
      <c r="K53" s="87">
        <v>0.00018</v>
      </c>
      <c r="L53" s="87">
        <f>F53*K53</f>
        <v>0.00108</v>
      </c>
      <c r="M53" s="105" t="s">
        <v>257</v>
      </c>
      <c r="P53" s="108">
        <f>IF(AG53="5",J53,0)</f>
        <v>0</v>
      </c>
      <c r="R53" s="108">
        <f>IF(AG53="1",H53,0)</f>
        <v>0</v>
      </c>
      <c r="S53" s="108">
        <f>IF(AG53="1",I53,0)</f>
        <v>0</v>
      </c>
      <c r="T53" s="108">
        <f>IF(AG53="7",H53,0)</f>
        <v>0</v>
      </c>
      <c r="U53" s="108">
        <f>IF(AG53="7",I53,0)</f>
        <v>0</v>
      </c>
      <c r="V53" s="108">
        <f>IF(AG53="2",H53,0)</f>
        <v>0</v>
      </c>
      <c r="W53" s="108">
        <f>IF(AG53="2",I53,0)</f>
        <v>0</v>
      </c>
      <c r="X53" s="108">
        <f>IF(AG53="0",J53,0)</f>
        <v>0</v>
      </c>
      <c r="Y53" s="100"/>
      <c r="Z53" s="87">
        <f>IF(AD53=0,J53,0)</f>
        <v>0</v>
      </c>
      <c r="AA53" s="87">
        <f>IF(AD53=15,J53,0)</f>
        <v>0</v>
      </c>
      <c r="AB53" s="87">
        <f>IF(AD53=21,J53,0)</f>
        <v>0</v>
      </c>
      <c r="AD53" s="108">
        <v>21</v>
      </c>
      <c r="AE53" s="108">
        <f>G53*0.320885311871227</f>
        <v>0</v>
      </c>
      <c r="AF53" s="108">
        <f>G53*(1-0.320885311871227)</f>
        <v>0</v>
      </c>
      <c r="AG53" s="105" t="s">
        <v>65</v>
      </c>
      <c r="AM53" s="108">
        <f>F53*AE53</f>
        <v>0</v>
      </c>
      <c r="AN53" s="108">
        <f>F53*AF53</f>
        <v>0</v>
      </c>
      <c r="AO53" s="109" t="s">
        <v>273</v>
      </c>
      <c r="AP53" s="109" t="s">
        <v>282</v>
      </c>
      <c r="AQ53" s="100" t="s">
        <v>284</v>
      </c>
      <c r="AS53" s="108">
        <f>AM53+AN53</f>
        <v>0</v>
      </c>
      <c r="AT53" s="108">
        <f>G53/(100-AU53)*100</f>
        <v>0</v>
      </c>
      <c r="AU53" s="108">
        <v>0</v>
      </c>
      <c r="AV53" s="108">
        <f>L53</f>
        <v>0.00108</v>
      </c>
    </row>
    <row r="54" ht="12.75">
      <c r="D54" s="80" t="s">
        <v>198</v>
      </c>
    </row>
    <row r="55" spans="1:48" ht="12.75">
      <c r="A55" s="68" t="s">
        <v>80</v>
      </c>
      <c r="B55" s="68"/>
      <c r="C55" s="68" t="s">
        <v>129</v>
      </c>
      <c r="D55" s="68" t="s">
        <v>199</v>
      </c>
      <c r="E55" s="68" t="s">
        <v>238</v>
      </c>
      <c r="F55" s="87">
        <v>43</v>
      </c>
      <c r="G55" s="87">
        <v>0</v>
      </c>
      <c r="H55" s="87">
        <f>F55*AE55</f>
        <v>0</v>
      </c>
      <c r="I55" s="87">
        <f>J55-H55</f>
        <v>0</v>
      </c>
      <c r="J55" s="87">
        <f>F55*G55</f>
        <v>0</v>
      </c>
      <c r="K55" s="87">
        <v>0.0001</v>
      </c>
      <c r="L55" s="87">
        <f>F55*K55</f>
        <v>0.0043</v>
      </c>
      <c r="M55" s="105" t="s">
        <v>257</v>
      </c>
      <c r="P55" s="108">
        <f>IF(AG55="5",J55,0)</f>
        <v>0</v>
      </c>
      <c r="R55" s="108">
        <f>IF(AG55="1",H55,0)</f>
        <v>0</v>
      </c>
      <c r="S55" s="108">
        <f>IF(AG55="1",I55,0)</f>
        <v>0</v>
      </c>
      <c r="T55" s="108">
        <f>IF(AG55="7",H55,0)</f>
        <v>0</v>
      </c>
      <c r="U55" s="108">
        <f>IF(AG55="7",I55,0)</f>
        <v>0</v>
      </c>
      <c r="V55" s="108">
        <f>IF(AG55="2",H55,0)</f>
        <v>0</v>
      </c>
      <c r="W55" s="108">
        <f>IF(AG55="2",I55,0)</f>
        <v>0</v>
      </c>
      <c r="X55" s="108">
        <f>IF(AG55="0",J55,0)</f>
        <v>0</v>
      </c>
      <c r="Y55" s="100"/>
      <c r="Z55" s="87">
        <f>IF(AD55=0,J55,0)</f>
        <v>0</v>
      </c>
      <c r="AA55" s="87">
        <f>IF(AD55=15,J55,0)</f>
        <v>0</v>
      </c>
      <c r="AB55" s="87">
        <f>IF(AD55=21,J55,0)</f>
        <v>0</v>
      </c>
      <c r="AD55" s="108">
        <v>21</v>
      </c>
      <c r="AE55" s="108">
        <f>G55*0.654857142857143</f>
        <v>0</v>
      </c>
      <c r="AF55" s="108">
        <f>G55*(1-0.654857142857143)</f>
        <v>0</v>
      </c>
      <c r="AG55" s="105" t="s">
        <v>65</v>
      </c>
      <c r="AM55" s="108">
        <f>F55*AE55</f>
        <v>0</v>
      </c>
      <c r="AN55" s="108">
        <f>F55*AF55</f>
        <v>0</v>
      </c>
      <c r="AO55" s="109" t="s">
        <v>273</v>
      </c>
      <c r="AP55" s="109" t="s">
        <v>282</v>
      </c>
      <c r="AQ55" s="100" t="s">
        <v>284</v>
      </c>
      <c r="AS55" s="108">
        <f>AM55+AN55</f>
        <v>0</v>
      </c>
      <c r="AT55" s="108">
        <f>G55/(100-AU55)*100</f>
        <v>0</v>
      </c>
      <c r="AU55" s="108">
        <v>0</v>
      </c>
      <c r="AV55" s="108">
        <f>L55</f>
        <v>0.0043</v>
      </c>
    </row>
    <row r="56" ht="12.75">
      <c r="D56" s="80" t="s">
        <v>200</v>
      </c>
    </row>
    <row r="57" spans="3:13" ht="12.75">
      <c r="C57" s="78" t="s">
        <v>112</v>
      </c>
      <c r="D57" s="81" t="s">
        <v>201</v>
      </c>
      <c r="E57" s="85"/>
      <c r="F57" s="85"/>
      <c r="G57" s="85"/>
      <c r="H57" s="85"/>
      <c r="I57" s="85"/>
      <c r="J57" s="85"/>
      <c r="K57" s="85"/>
      <c r="L57" s="85"/>
      <c r="M57" s="85"/>
    </row>
    <row r="58" spans="1:48" ht="12.75">
      <c r="A58" s="68" t="s">
        <v>81</v>
      </c>
      <c r="B58" s="68"/>
      <c r="C58" s="68" t="s">
        <v>130</v>
      </c>
      <c r="D58" s="68" t="s">
        <v>202</v>
      </c>
      <c r="E58" s="68" t="s">
        <v>240</v>
      </c>
      <c r="F58" s="87">
        <v>50</v>
      </c>
      <c r="G58" s="87">
        <v>0</v>
      </c>
      <c r="H58" s="87">
        <f>F58*AE58</f>
        <v>0</v>
      </c>
      <c r="I58" s="87">
        <f>J58-H58</f>
        <v>0</v>
      </c>
      <c r="J58" s="87">
        <f>F58*G58</f>
        <v>0</v>
      </c>
      <c r="K58" s="87">
        <v>8E-05</v>
      </c>
      <c r="L58" s="87">
        <f>F58*K58</f>
        <v>0.004</v>
      </c>
      <c r="M58" s="105" t="s">
        <v>257</v>
      </c>
      <c r="P58" s="108">
        <f>IF(AG58="5",J58,0)</f>
        <v>0</v>
      </c>
      <c r="R58" s="108">
        <f>IF(AG58="1",H58,0)</f>
        <v>0</v>
      </c>
      <c r="S58" s="108">
        <f>IF(AG58="1",I58,0)</f>
        <v>0</v>
      </c>
      <c r="T58" s="108">
        <f>IF(AG58="7",H58,0)</f>
        <v>0</v>
      </c>
      <c r="U58" s="108">
        <f>IF(AG58="7",I58,0)</f>
        <v>0</v>
      </c>
      <c r="V58" s="108">
        <f>IF(AG58="2",H58,0)</f>
        <v>0</v>
      </c>
      <c r="W58" s="108">
        <f>IF(AG58="2",I58,0)</f>
        <v>0</v>
      </c>
      <c r="X58" s="108">
        <f>IF(AG58="0",J58,0)</f>
        <v>0</v>
      </c>
      <c r="Y58" s="100"/>
      <c r="Z58" s="87">
        <f>IF(AD58=0,J58,0)</f>
        <v>0</v>
      </c>
      <c r="AA58" s="87">
        <f>IF(AD58=15,J58,0)</f>
        <v>0</v>
      </c>
      <c r="AB58" s="87">
        <f>IF(AD58=21,J58,0)</f>
        <v>0</v>
      </c>
      <c r="AD58" s="108">
        <v>21</v>
      </c>
      <c r="AE58" s="108">
        <f>G58*0.1880894637564</f>
        <v>0</v>
      </c>
      <c r="AF58" s="108">
        <f>G58*(1-0.1880894637564)</f>
        <v>0</v>
      </c>
      <c r="AG58" s="105" t="s">
        <v>65</v>
      </c>
      <c r="AM58" s="108">
        <f>F58*AE58</f>
        <v>0</v>
      </c>
      <c r="AN58" s="108">
        <f>F58*AF58</f>
        <v>0</v>
      </c>
      <c r="AO58" s="109" t="s">
        <v>273</v>
      </c>
      <c r="AP58" s="109" t="s">
        <v>282</v>
      </c>
      <c r="AQ58" s="100" t="s">
        <v>284</v>
      </c>
      <c r="AS58" s="108">
        <f>AM58+AN58</f>
        <v>0</v>
      </c>
      <c r="AT58" s="108">
        <f>G58/(100-AU58)*100</f>
        <v>0</v>
      </c>
      <c r="AU58" s="108">
        <v>0</v>
      </c>
      <c r="AV58" s="108">
        <f>L58</f>
        <v>0.004</v>
      </c>
    </row>
    <row r="59" ht="12.75">
      <c r="D59" s="80" t="s">
        <v>203</v>
      </c>
    </row>
    <row r="60" spans="1:48" ht="12.75">
      <c r="A60" s="68" t="s">
        <v>82</v>
      </c>
      <c r="B60" s="68"/>
      <c r="C60" s="68" t="s">
        <v>131</v>
      </c>
      <c r="D60" s="68" t="s">
        <v>204</v>
      </c>
      <c r="E60" s="68" t="s">
        <v>240</v>
      </c>
      <c r="F60" s="87">
        <v>50</v>
      </c>
      <c r="G60" s="87">
        <v>0</v>
      </c>
      <c r="H60" s="87">
        <f>F60*AE60</f>
        <v>0</v>
      </c>
      <c r="I60" s="87">
        <f>J60-H60</f>
        <v>0</v>
      </c>
      <c r="J60" s="87">
        <f>F60*G60</f>
        <v>0</v>
      </c>
      <c r="K60" s="87">
        <v>0.00015</v>
      </c>
      <c r="L60" s="87">
        <f>F60*K60</f>
        <v>0.0075</v>
      </c>
      <c r="M60" s="105" t="s">
        <v>257</v>
      </c>
      <c r="P60" s="108">
        <f>IF(AG60="5",J60,0)</f>
        <v>0</v>
      </c>
      <c r="R60" s="108">
        <f>IF(AG60="1",H60,0)</f>
        <v>0</v>
      </c>
      <c r="S60" s="108">
        <f>IF(AG60="1",I60,0)</f>
        <v>0</v>
      </c>
      <c r="T60" s="108">
        <f>IF(AG60="7",H60,0)</f>
        <v>0</v>
      </c>
      <c r="U60" s="108">
        <f>IF(AG60="7",I60,0)</f>
        <v>0</v>
      </c>
      <c r="V60" s="108">
        <f>IF(AG60="2",H60,0)</f>
        <v>0</v>
      </c>
      <c r="W60" s="108">
        <f>IF(AG60="2",I60,0)</f>
        <v>0</v>
      </c>
      <c r="X60" s="108">
        <f>IF(AG60="0",J60,0)</f>
        <v>0</v>
      </c>
      <c r="Y60" s="100"/>
      <c r="Z60" s="87">
        <f>IF(AD60=0,J60,0)</f>
        <v>0</v>
      </c>
      <c r="AA60" s="87">
        <f>IF(AD60=15,J60,0)</f>
        <v>0</v>
      </c>
      <c r="AB60" s="87">
        <f>IF(AD60=21,J60,0)</f>
        <v>0</v>
      </c>
      <c r="AD60" s="108">
        <v>21</v>
      </c>
      <c r="AE60" s="108">
        <f>G60*0.337209302325581</f>
        <v>0</v>
      </c>
      <c r="AF60" s="108">
        <f>G60*(1-0.337209302325581)</f>
        <v>0</v>
      </c>
      <c r="AG60" s="105" t="s">
        <v>65</v>
      </c>
      <c r="AM60" s="108">
        <f>F60*AE60</f>
        <v>0</v>
      </c>
      <c r="AN60" s="108">
        <f>F60*AF60</f>
        <v>0</v>
      </c>
      <c r="AO60" s="109" t="s">
        <v>273</v>
      </c>
      <c r="AP60" s="109" t="s">
        <v>282</v>
      </c>
      <c r="AQ60" s="100" t="s">
        <v>284</v>
      </c>
      <c r="AS60" s="108">
        <f>AM60+AN60</f>
        <v>0</v>
      </c>
      <c r="AT60" s="108">
        <f>G60/(100-AU60)*100</f>
        <v>0</v>
      </c>
      <c r="AU60" s="108">
        <v>0</v>
      </c>
      <c r="AV60" s="108">
        <f>L60</f>
        <v>0.0075</v>
      </c>
    </row>
    <row r="61" ht="12.75">
      <c r="D61" s="80" t="s">
        <v>205</v>
      </c>
    </row>
    <row r="62" spans="1:48" ht="12.75">
      <c r="A62" s="68" t="s">
        <v>83</v>
      </c>
      <c r="B62" s="68"/>
      <c r="C62" s="68" t="s">
        <v>132</v>
      </c>
      <c r="D62" s="68" t="s">
        <v>206</v>
      </c>
      <c r="E62" s="68" t="s">
        <v>240</v>
      </c>
      <c r="F62" s="87">
        <v>60</v>
      </c>
      <c r="G62" s="87">
        <v>0</v>
      </c>
      <c r="H62" s="87">
        <f>F62*AE62</f>
        <v>0</v>
      </c>
      <c r="I62" s="87">
        <f>J62-H62</f>
        <v>0</v>
      </c>
      <c r="J62" s="87">
        <f>F62*G62</f>
        <v>0</v>
      </c>
      <c r="K62" s="87">
        <v>0.00056</v>
      </c>
      <c r="L62" s="87">
        <f>F62*K62</f>
        <v>0.0336</v>
      </c>
      <c r="M62" s="105" t="s">
        <v>257</v>
      </c>
      <c r="P62" s="108">
        <f>IF(AG62="5",J62,0)</f>
        <v>0</v>
      </c>
      <c r="R62" s="108">
        <f>IF(AG62="1",H62,0)</f>
        <v>0</v>
      </c>
      <c r="S62" s="108">
        <f>IF(AG62="1",I62,0)</f>
        <v>0</v>
      </c>
      <c r="T62" s="108">
        <f>IF(AG62="7",H62,0)</f>
        <v>0</v>
      </c>
      <c r="U62" s="108">
        <f>IF(AG62="7",I62,0)</f>
        <v>0</v>
      </c>
      <c r="V62" s="108">
        <f>IF(AG62="2",H62,0)</f>
        <v>0</v>
      </c>
      <c r="W62" s="108">
        <f>IF(AG62="2",I62,0)</f>
        <v>0</v>
      </c>
      <c r="X62" s="108">
        <f>IF(AG62="0",J62,0)</f>
        <v>0</v>
      </c>
      <c r="Y62" s="100"/>
      <c r="Z62" s="87">
        <f>IF(AD62=0,J62,0)</f>
        <v>0</v>
      </c>
      <c r="AA62" s="87">
        <f>IF(AD62=15,J62,0)</f>
        <v>0</v>
      </c>
      <c r="AB62" s="87">
        <f>IF(AD62=21,J62,0)</f>
        <v>0</v>
      </c>
      <c r="AD62" s="108">
        <v>21</v>
      </c>
      <c r="AE62" s="108">
        <f>G62*0.634219518293191</f>
        <v>0</v>
      </c>
      <c r="AF62" s="108">
        <f>G62*(1-0.634219518293191)</f>
        <v>0</v>
      </c>
      <c r="AG62" s="105" t="s">
        <v>65</v>
      </c>
      <c r="AM62" s="108">
        <f>F62*AE62</f>
        <v>0</v>
      </c>
      <c r="AN62" s="108">
        <f>F62*AF62</f>
        <v>0</v>
      </c>
      <c r="AO62" s="109" t="s">
        <v>273</v>
      </c>
      <c r="AP62" s="109" t="s">
        <v>282</v>
      </c>
      <c r="AQ62" s="100" t="s">
        <v>284</v>
      </c>
      <c r="AS62" s="108">
        <f>AM62+AN62</f>
        <v>0</v>
      </c>
      <c r="AT62" s="108">
        <f>G62/(100-AU62)*100</f>
        <v>0</v>
      </c>
      <c r="AU62" s="108">
        <v>0</v>
      </c>
      <c r="AV62" s="108">
        <f>L62</f>
        <v>0.0336</v>
      </c>
    </row>
    <row r="63" ht="12.75">
      <c r="D63" s="80" t="s">
        <v>207</v>
      </c>
    </row>
    <row r="64" spans="1:48" ht="12.75">
      <c r="A64" s="68" t="s">
        <v>84</v>
      </c>
      <c r="B64" s="68"/>
      <c r="C64" s="68" t="s">
        <v>133</v>
      </c>
      <c r="D64" s="68" t="s">
        <v>208</v>
      </c>
      <c r="E64" s="68" t="s">
        <v>240</v>
      </c>
      <c r="F64" s="87">
        <v>30</v>
      </c>
      <c r="G64" s="87">
        <v>0</v>
      </c>
      <c r="H64" s="87">
        <f>F64*AE64</f>
        <v>0</v>
      </c>
      <c r="I64" s="87">
        <f>J64-H64</f>
        <v>0</v>
      </c>
      <c r="J64" s="87">
        <f>F64*G64</f>
        <v>0</v>
      </c>
      <c r="K64" s="87">
        <v>0.00032</v>
      </c>
      <c r="L64" s="87">
        <f>F64*K64</f>
        <v>0.009600000000000001</v>
      </c>
      <c r="M64" s="105" t="s">
        <v>257</v>
      </c>
      <c r="P64" s="108">
        <f>IF(AG64="5",J64,0)</f>
        <v>0</v>
      </c>
      <c r="R64" s="108">
        <f>IF(AG64="1",H64,0)</f>
        <v>0</v>
      </c>
      <c r="S64" s="108">
        <f>IF(AG64="1",I64,0)</f>
        <v>0</v>
      </c>
      <c r="T64" s="108">
        <f>IF(AG64="7",H64,0)</f>
        <v>0</v>
      </c>
      <c r="U64" s="108">
        <f>IF(AG64="7",I64,0)</f>
        <v>0</v>
      </c>
      <c r="V64" s="108">
        <f>IF(AG64="2",H64,0)</f>
        <v>0</v>
      </c>
      <c r="W64" s="108">
        <f>IF(AG64="2",I64,0)</f>
        <v>0</v>
      </c>
      <c r="X64" s="108">
        <f>IF(AG64="0",J64,0)</f>
        <v>0</v>
      </c>
      <c r="Y64" s="100"/>
      <c r="Z64" s="87">
        <f>IF(AD64=0,J64,0)</f>
        <v>0</v>
      </c>
      <c r="AA64" s="87">
        <f>IF(AD64=15,J64,0)</f>
        <v>0</v>
      </c>
      <c r="AB64" s="87">
        <f>IF(AD64=21,J64,0)</f>
        <v>0</v>
      </c>
      <c r="AD64" s="108">
        <v>21</v>
      </c>
      <c r="AE64" s="108">
        <f>G64*0.621836734693878</f>
        <v>0</v>
      </c>
      <c r="AF64" s="108">
        <f>G64*(1-0.621836734693878)</f>
        <v>0</v>
      </c>
      <c r="AG64" s="105" t="s">
        <v>65</v>
      </c>
      <c r="AM64" s="108">
        <f>F64*AE64</f>
        <v>0</v>
      </c>
      <c r="AN64" s="108">
        <f>F64*AF64</f>
        <v>0</v>
      </c>
      <c r="AO64" s="109" t="s">
        <v>273</v>
      </c>
      <c r="AP64" s="109" t="s">
        <v>282</v>
      </c>
      <c r="AQ64" s="100" t="s">
        <v>284</v>
      </c>
      <c r="AS64" s="108">
        <f>AM64+AN64</f>
        <v>0</v>
      </c>
      <c r="AT64" s="108">
        <f>G64/(100-AU64)*100</f>
        <v>0</v>
      </c>
      <c r="AU64" s="108">
        <v>0</v>
      </c>
      <c r="AV64" s="108">
        <f>L64</f>
        <v>0.009600000000000001</v>
      </c>
    </row>
    <row r="65" ht="12.75">
      <c r="D65" s="80" t="s">
        <v>209</v>
      </c>
    </row>
    <row r="66" spans="1:48" ht="12.75">
      <c r="A66" s="68" t="s">
        <v>85</v>
      </c>
      <c r="B66" s="68"/>
      <c r="C66" s="68" t="s">
        <v>134</v>
      </c>
      <c r="D66" s="68" t="s">
        <v>210</v>
      </c>
      <c r="E66" s="68" t="s">
        <v>240</v>
      </c>
      <c r="F66" s="87">
        <v>690</v>
      </c>
      <c r="G66" s="87">
        <v>0</v>
      </c>
      <c r="H66" s="87">
        <f>F66*AE66</f>
        <v>0</v>
      </c>
      <c r="I66" s="87">
        <f>J66-H66</f>
        <v>0</v>
      </c>
      <c r="J66" s="87">
        <f>F66*G66</f>
        <v>0</v>
      </c>
      <c r="K66" s="87">
        <v>0.00023</v>
      </c>
      <c r="L66" s="87">
        <f>F66*K66</f>
        <v>0.1587</v>
      </c>
      <c r="M66" s="105" t="s">
        <v>257</v>
      </c>
      <c r="P66" s="108">
        <f>IF(AG66="5",J66,0)</f>
        <v>0</v>
      </c>
      <c r="R66" s="108">
        <f>IF(AG66="1",H66,0)</f>
        <v>0</v>
      </c>
      <c r="S66" s="108">
        <f>IF(AG66="1",I66,0)</f>
        <v>0</v>
      </c>
      <c r="T66" s="108">
        <f>IF(AG66="7",H66,0)</f>
        <v>0</v>
      </c>
      <c r="U66" s="108">
        <f>IF(AG66="7",I66,0)</f>
        <v>0</v>
      </c>
      <c r="V66" s="108">
        <f>IF(AG66="2",H66,0)</f>
        <v>0</v>
      </c>
      <c r="W66" s="108">
        <f>IF(AG66="2",I66,0)</f>
        <v>0</v>
      </c>
      <c r="X66" s="108">
        <f>IF(AG66="0",J66,0)</f>
        <v>0</v>
      </c>
      <c r="Y66" s="100"/>
      <c r="Z66" s="87">
        <f>IF(AD66=0,J66,0)</f>
        <v>0</v>
      </c>
      <c r="AA66" s="87">
        <f>IF(AD66=15,J66,0)</f>
        <v>0</v>
      </c>
      <c r="AB66" s="87">
        <f>IF(AD66=21,J66,0)</f>
        <v>0</v>
      </c>
      <c r="AD66" s="108">
        <v>21</v>
      </c>
      <c r="AE66" s="108">
        <f>G66*0.340437158469945</f>
        <v>0</v>
      </c>
      <c r="AF66" s="108">
        <f>G66*(1-0.340437158469945)</f>
        <v>0</v>
      </c>
      <c r="AG66" s="105" t="s">
        <v>65</v>
      </c>
      <c r="AM66" s="108">
        <f>F66*AE66</f>
        <v>0</v>
      </c>
      <c r="AN66" s="108">
        <f>F66*AF66</f>
        <v>0</v>
      </c>
      <c r="AO66" s="109" t="s">
        <v>273</v>
      </c>
      <c r="AP66" s="109" t="s">
        <v>282</v>
      </c>
      <c r="AQ66" s="100" t="s">
        <v>284</v>
      </c>
      <c r="AS66" s="108">
        <f>AM66+AN66</f>
        <v>0</v>
      </c>
      <c r="AT66" s="108">
        <f>G66/(100-AU66)*100</f>
        <v>0</v>
      </c>
      <c r="AU66" s="108">
        <v>0</v>
      </c>
      <c r="AV66" s="108">
        <f>L66</f>
        <v>0.1587</v>
      </c>
    </row>
    <row r="67" ht="12.75">
      <c r="D67" s="80" t="s">
        <v>209</v>
      </c>
    </row>
    <row r="68" spans="1:48" ht="12.75">
      <c r="A68" s="68" t="s">
        <v>86</v>
      </c>
      <c r="B68" s="68"/>
      <c r="C68" s="68" t="s">
        <v>135</v>
      </c>
      <c r="D68" s="68" t="s">
        <v>211</v>
      </c>
      <c r="E68" s="68" t="s">
        <v>240</v>
      </c>
      <c r="F68" s="87">
        <v>1220</v>
      </c>
      <c r="G68" s="87">
        <v>0</v>
      </c>
      <c r="H68" s="87">
        <f>F68*AE68</f>
        <v>0</v>
      </c>
      <c r="I68" s="87">
        <f>J68-H68</f>
        <v>0</v>
      </c>
      <c r="J68" s="87">
        <f>F68*G68</f>
        <v>0</v>
      </c>
      <c r="K68" s="87">
        <v>0.00016</v>
      </c>
      <c r="L68" s="87">
        <f>F68*K68</f>
        <v>0.1952</v>
      </c>
      <c r="M68" s="105" t="s">
        <v>257</v>
      </c>
      <c r="P68" s="108">
        <f>IF(AG68="5",J68,0)</f>
        <v>0</v>
      </c>
      <c r="R68" s="108">
        <f>IF(AG68="1",H68,0)</f>
        <v>0</v>
      </c>
      <c r="S68" s="108">
        <f>IF(AG68="1",I68,0)</f>
        <v>0</v>
      </c>
      <c r="T68" s="108">
        <f>IF(AG68="7",H68,0)</f>
        <v>0</v>
      </c>
      <c r="U68" s="108">
        <f>IF(AG68="7",I68,0)</f>
        <v>0</v>
      </c>
      <c r="V68" s="108">
        <f>IF(AG68="2",H68,0)</f>
        <v>0</v>
      </c>
      <c r="W68" s="108">
        <f>IF(AG68="2",I68,0)</f>
        <v>0</v>
      </c>
      <c r="X68" s="108">
        <f>IF(AG68="0",J68,0)</f>
        <v>0</v>
      </c>
      <c r="Y68" s="100"/>
      <c r="Z68" s="87">
        <f>IF(AD68=0,J68,0)</f>
        <v>0</v>
      </c>
      <c r="AA68" s="87">
        <f>IF(AD68=15,J68,0)</f>
        <v>0</v>
      </c>
      <c r="AB68" s="87">
        <f>IF(AD68=21,J68,0)</f>
        <v>0</v>
      </c>
      <c r="AD68" s="108">
        <v>21</v>
      </c>
      <c r="AE68" s="108">
        <f>G68*0.243006263048017</f>
        <v>0</v>
      </c>
      <c r="AF68" s="108">
        <f>G68*(1-0.243006263048017)</f>
        <v>0</v>
      </c>
      <c r="AG68" s="105" t="s">
        <v>65</v>
      </c>
      <c r="AM68" s="108">
        <f>F68*AE68</f>
        <v>0</v>
      </c>
      <c r="AN68" s="108">
        <f>F68*AF68</f>
        <v>0</v>
      </c>
      <c r="AO68" s="109" t="s">
        <v>273</v>
      </c>
      <c r="AP68" s="109" t="s">
        <v>282</v>
      </c>
      <c r="AQ68" s="100" t="s">
        <v>284</v>
      </c>
      <c r="AS68" s="108">
        <f>AM68+AN68</f>
        <v>0</v>
      </c>
      <c r="AT68" s="108">
        <f>G68/(100-AU68)*100</f>
        <v>0</v>
      </c>
      <c r="AU68" s="108">
        <v>0</v>
      </c>
      <c r="AV68" s="108">
        <f>L68</f>
        <v>0.1952</v>
      </c>
    </row>
    <row r="69" ht="12.75">
      <c r="D69" s="80" t="s">
        <v>209</v>
      </c>
    </row>
    <row r="70" spans="1:48" ht="12.75">
      <c r="A70" s="68" t="s">
        <v>87</v>
      </c>
      <c r="B70" s="68"/>
      <c r="C70" s="68" t="s">
        <v>136</v>
      </c>
      <c r="D70" s="68" t="s">
        <v>212</v>
      </c>
      <c r="E70" s="68" t="s">
        <v>240</v>
      </c>
      <c r="F70" s="87">
        <v>280</v>
      </c>
      <c r="G70" s="87">
        <v>0</v>
      </c>
      <c r="H70" s="87">
        <f>F70*AE70</f>
        <v>0</v>
      </c>
      <c r="I70" s="87">
        <f>J70-H70</f>
        <v>0</v>
      </c>
      <c r="J70" s="87">
        <f>F70*G70</f>
        <v>0</v>
      </c>
      <c r="K70" s="87">
        <v>0.00016</v>
      </c>
      <c r="L70" s="87">
        <f>F70*K70</f>
        <v>0.044800000000000006</v>
      </c>
      <c r="M70" s="105" t="s">
        <v>257</v>
      </c>
      <c r="P70" s="108">
        <f>IF(AG70="5",J70,0)</f>
        <v>0</v>
      </c>
      <c r="R70" s="108">
        <f>IF(AG70="1",H70,0)</f>
        <v>0</v>
      </c>
      <c r="S70" s="108">
        <f>IF(AG70="1",I70,0)</f>
        <v>0</v>
      </c>
      <c r="T70" s="108">
        <f>IF(AG70="7",H70,0)</f>
        <v>0</v>
      </c>
      <c r="U70" s="108">
        <f>IF(AG70="7",I70,0)</f>
        <v>0</v>
      </c>
      <c r="V70" s="108">
        <f>IF(AG70="2",H70,0)</f>
        <v>0</v>
      </c>
      <c r="W70" s="108">
        <f>IF(AG70="2",I70,0)</f>
        <v>0</v>
      </c>
      <c r="X70" s="108">
        <f>IF(AG70="0",J70,0)</f>
        <v>0</v>
      </c>
      <c r="Y70" s="100"/>
      <c r="Z70" s="87">
        <f>IF(AD70=0,J70,0)</f>
        <v>0</v>
      </c>
      <c r="AA70" s="87">
        <f>IF(AD70=15,J70,0)</f>
        <v>0</v>
      </c>
      <c r="AB70" s="87">
        <f>IF(AD70=21,J70,0)</f>
        <v>0</v>
      </c>
      <c r="AD70" s="108">
        <v>21</v>
      </c>
      <c r="AE70" s="108">
        <f>G70*0.292462311557789</f>
        <v>0</v>
      </c>
      <c r="AF70" s="108">
        <f>G70*(1-0.292462311557789)</f>
        <v>0</v>
      </c>
      <c r="AG70" s="105" t="s">
        <v>65</v>
      </c>
      <c r="AM70" s="108">
        <f>F70*AE70</f>
        <v>0</v>
      </c>
      <c r="AN70" s="108">
        <f>F70*AF70</f>
        <v>0</v>
      </c>
      <c r="AO70" s="109" t="s">
        <v>273</v>
      </c>
      <c r="AP70" s="109" t="s">
        <v>282</v>
      </c>
      <c r="AQ70" s="100" t="s">
        <v>284</v>
      </c>
      <c r="AS70" s="108">
        <f>AM70+AN70</f>
        <v>0</v>
      </c>
      <c r="AT70" s="108">
        <f>G70/(100-AU70)*100</f>
        <v>0</v>
      </c>
      <c r="AU70" s="108">
        <v>0</v>
      </c>
      <c r="AV70" s="108">
        <f>L70</f>
        <v>0.044800000000000006</v>
      </c>
    </row>
    <row r="71" ht="12.75">
      <c r="D71" s="80" t="s">
        <v>209</v>
      </c>
    </row>
    <row r="72" spans="1:48" ht="12.75">
      <c r="A72" s="68" t="s">
        <v>88</v>
      </c>
      <c r="B72" s="68"/>
      <c r="C72" s="68" t="s">
        <v>137</v>
      </c>
      <c r="D72" s="68" t="s">
        <v>213</v>
      </c>
      <c r="E72" s="68" t="s">
        <v>238</v>
      </c>
      <c r="F72" s="87">
        <v>34</v>
      </c>
      <c r="G72" s="87">
        <v>0</v>
      </c>
      <c r="H72" s="87">
        <f>F72*AE72</f>
        <v>0</v>
      </c>
      <c r="I72" s="87">
        <f>J72-H72</f>
        <v>0</v>
      </c>
      <c r="J72" s="87">
        <f>F72*G72</f>
        <v>0</v>
      </c>
      <c r="K72" s="87">
        <v>0</v>
      </c>
      <c r="L72" s="87">
        <f>F72*K72</f>
        <v>0</v>
      </c>
      <c r="M72" s="105" t="s">
        <v>257</v>
      </c>
      <c r="P72" s="108">
        <f>IF(AG72="5",J72,0)</f>
        <v>0</v>
      </c>
      <c r="R72" s="108">
        <f>IF(AG72="1",H72,0)</f>
        <v>0</v>
      </c>
      <c r="S72" s="108">
        <f>IF(AG72="1",I72,0)</f>
        <v>0</v>
      </c>
      <c r="T72" s="108">
        <f>IF(AG72="7",H72,0)</f>
        <v>0</v>
      </c>
      <c r="U72" s="108">
        <f>IF(AG72="7",I72,0)</f>
        <v>0</v>
      </c>
      <c r="V72" s="108">
        <f>IF(AG72="2",H72,0)</f>
        <v>0</v>
      </c>
      <c r="W72" s="108">
        <f>IF(AG72="2",I72,0)</f>
        <v>0</v>
      </c>
      <c r="X72" s="108">
        <f>IF(AG72="0",J72,0)</f>
        <v>0</v>
      </c>
      <c r="Y72" s="100"/>
      <c r="Z72" s="87">
        <f>IF(AD72=0,J72,0)</f>
        <v>0</v>
      </c>
      <c r="AA72" s="87">
        <f>IF(AD72=15,J72,0)</f>
        <v>0</v>
      </c>
      <c r="AB72" s="87">
        <f>IF(AD72=21,J72,0)</f>
        <v>0</v>
      </c>
      <c r="AD72" s="108">
        <v>21</v>
      </c>
      <c r="AE72" s="108">
        <f>G72*0</f>
        <v>0</v>
      </c>
      <c r="AF72" s="108">
        <f>G72*(1-0)</f>
        <v>0</v>
      </c>
      <c r="AG72" s="105" t="s">
        <v>65</v>
      </c>
      <c r="AM72" s="108">
        <f>F72*AE72</f>
        <v>0</v>
      </c>
      <c r="AN72" s="108">
        <f>F72*AF72</f>
        <v>0</v>
      </c>
      <c r="AO72" s="109" t="s">
        <v>273</v>
      </c>
      <c r="AP72" s="109" t="s">
        <v>282</v>
      </c>
      <c r="AQ72" s="100" t="s">
        <v>284</v>
      </c>
      <c r="AS72" s="108">
        <f>AM72+AN72</f>
        <v>0</v>
      </c>
      <c r="AT72" s="108">
        <f>G72/(100-AU72)*100</f>
        <v>0</v>
      </c>
      <c r="AU72" s="108">
        <v>0</v>
      </c>
      <c r="AV72" s="108">
        <f>L72</f>
        <v>0</v>
      </c>
    </row>
    <row r="73" spans="1:48" ht="12.75">
      <c r="A73" s="68" t="s">
        <v>89</v>
      </c>
      <c r="B73" s="68"/>
      <c r="C73" s="68" t="s">
        <v>138</v>
      </c>
      <c r="D73" s="68" t="s">
        <v>214</v>
      </c>
      <c r="E73" s="68" t="s">
        <v>238</v>
      </c>
      <c r="F73" s="87">
        <v>9</v>
      </c>
      <c r="G73" s="87">
        <v>0</v>
      </c>
      <c r="H73" s="87">
        <f>F73*AE73</f>
        <v>0</v>
      </c>
      <c r="I73" s="87">
        <f>J73-H73</f>
        <v>0</v>
      </c>
      <c r="J73" s="87">
        <f>F73*G73</f>
        <v>0</v>
      </c>
      <c r="K73" s="87">
        <v>0</v>
      </c>
      <c r="L73" s="87">
        <f>F73*K73</f>
        <v>0</v>
      </c>
      <c r="M73" s="105" t="s">
        <v>257</v>
      </c>
      <c r="P73" s="108">
        <f>IF(AG73="5",J73,0)</f>
        <v>0</v>
      </c>
      <c r="R73" s="108">
        <f>IF(AG73="1",H73,0)</f>
        <v>0</v>
      </c>
      <c r="S73" s="108">
        <f>IF(AG73="1",I73,0)</f>
        <v>0</v>
      </c>
      <c r="T73" s="108">
        <f>IF(AG73="7",H73,0)</f>
        <v>0</v>
      </c>
      <c r="U73" s="108">
        <f>IF(AG73="7",I73,0)</f>
        <v>0</v>
      </c>
      <c r="V73" s="108">
        <f>IF(AG73="2",H73,0)</f>
        <v>0</v>
      </c>
      <c r="W73" s="108">
        <f>IF(AG73="2",I73,0)</f>
        <v>0</v>
      </c>
      <c r="X73" s="108">
        <f>IF(AG73="0",J73,0)</f>
        <v>0</v>
      </c>
      <c r="Y73" s="100"/>
      <c r="Z73" s="87">
        <f>IF(AD73=0,J73,0)</f>
        <v>0</v>
      </c>
      <c r="AA73" s="87">
        <f>IF(AD73=15,J73,0)</f>
        <v>0</v>
      </c>
      <c r="AB73" s="87">
        <f>IF(AD73=21,J73,0)</f>
        <v>0</v>
      </c>
      <c r="AD73" s="108">
        <v>21</v>
      </c>
      <c r="AE73" s="108">
        <f>G73*0</f>
        <v>0</v>
      </c>
      <c r="AF73" s="108">
        <f>G73*(1-0)</f>
        <v>0</v>
      </c>
      <c r="AG73" s="105" t="s">
        <v>65</v>
      </c>
      <c r="AM73" s="108">
        <f>F73*AE73</f>
        <v>0</v>
      </c>
      <c r="AN73" s="108">
        <f>F73*AF73</f>
        <v>0</v>
      </c>
      <c r="AO73" s="109" t="s">
        <v>273</v>
      </c>
      <c r="AP73" s="109" t="s">
        <v>282</v>
      </c>
      <c r="AQ73" s="100" t="s">
        <v>284</v>
      </c>
      <c r="AS73" s="108">
        <f>AM73+AN73</f>
        <v>0</v>
      </c>
      <c r="AT73" s="108">
        <f>G73/(100-AU73)*100</f>
        <v>0</v>
      </c>
      <c r="AU73" s="108">
        <v>0</v>
      </c>
      <c r="AV73" s="108">
        <f>L73</f>
        <v>0</v>
      </c>
    </row>
    <row r="74" spans="1:48" ht="12.75">
      <c r="A74" s="68" t="s">
        <v>90</v>
      </c>
      <c r="B74" s="68"/>
      <c r="C74" s="68" t="s">
        <v>139</v>
      </c>
      <c r="D74" s="68" t="s">
        <v>215</v>
      </c>
      <c r="E74" s="68" t="s">
        <v>238</v>
      </c>
      <c r="F74" s="87">
        <v>63</v>
      </c>
      <c r="G74" s="87">
        <v>0</v>
      </c>
      <c r="H74" s="87">
        <f>F74*AE74</f>
        <v>0</v>
      </c>
      <c r="I74" s="87">
        <f>J74-H74</f>
        <v>0</v>
      </c>
      <c r="J74" s="87">
        <f>F74*G74</f>
        <v>0</v>
      </c>
      <c r="K74" s="87">
        <v>0</v>
      </c>
      <c r="L74" s="87">
        <f>F74*K74</f>
        <v>0</v>
      </c>
      <c r="M74" s="105" t="s">
        <v>257</v>
      </c>
      <c r="P74" s="108">
        <f>IF(AG74="5",J74,0)</f>
        <v>0</v>
      </c>
      <c r="R74" s="108">
        <f>IF(AG74="1",H74,0)</f>
        <v>0</v>
      </c>
      <c r="S74" s="108">
        <f>IF(AG74="1",I74,0)</f>
        <v>0</v>
      </c>
      <c r="T74" s="108">
        <f>IF(AG74="7",H74,0)</f>
        <v>0</v>
      </c>
      <c r="U74" s="108">
        <f>IF(AG74="7",I74,0)</f>
        <v>0</v>
      </c>
      <c r="V74" s="108">
        <f>IF(AG74="2",H74,0)</f>
        <v>0</v>
      </c>
      <c r="W74" s="108">
        <f>IF(AG74="2",I74,0)</f>
        <v>0</v>
      </c>
      <c r="X74" s="108">
        <f>IF(AG74="0",J74,0)</f>
        <v>0</v>
      </c>
      <c r="Y74" s="100"/>
      <c r="Z74" s="87">
        <f>IF(AD74=0,J74,0)</f>
        <v>0</v>
      </c>
      <c r="AA74" s="87">
        <f>IF(AD74=15,J74,0)</f>
        <v>0</v>
      </c>
      <c r="AB74" s="87">
        <f>IF(AD74=21,J74,0)</f>
        <v>0</v>
      </c>
      <c r="AD74" s="108">
        <v>21</v>
      </c>
      <c r="AE74" s="108">
        <f>G74*0</f>
        <v>0</v>
      </c>
      <c r="AF74" s="108">
        <f>G74*(1-0)</f>
        <v>0</v>
      </c>
      <c r="AG74" s="105" t="s">
        <v>65</v>
      </c>
      <c r="AM74" s="108">
        <f>F74*AE74</f>
        <v>0</v>
      </c>
      <c r="AN74" s="108">
        <f>F74*AF74</f>
        <v>0</v>
      </c>
      <c r="AO74" s="109" t="s">
        <v>273</v>
      </c>
      <c r="AP74" s="109" t="s">
        <v>282</v>
      </c>
      <c r="AQ74" s="100" t="s">
        <v>284</v>
      </c>
      <c r="AS74" s="108">
        <f>AM74+AN74</f>
        <v>0</v>
      </c>
      <c r="AT74" s="108">
        <f>G74/(100-AU74)*100</f>
        <v>0</v>
      </c>
      <c r="AU74" s="108">
        <v>0</v>
      </c>
      <c r="AV74" s="108">
        <f>L74</f>
        <v>0</v>
      </c>
    </row>
    <row r="75" spans="1:37" ht="12.75">
      <c r="A75" s="67"/>
      <c r="B75" s="77"/>
      <c r="C75" s="77" t="s">
        <v>140</v>
      </c>
      <c r="D75" s="77" t="s">
        <v>216</v>
      </c>
      <c r="E75" s="84"/>
      <c r="F75" s="84"/>
      <c r="G75" s="84"/>
      <c r="H75" s="111">
        <f>SUM(H76:H76)</f>
        <v>0</v>
      </c>
      <c r="I75" s="111">
        <f>SUM(I76:I76)</f>
        <v>0</v>
      </c>
      <c r="J75" s="111">
        <f>H75+I75</f>
        <v>0</v>
      </c>
      <c r="K75" s="100"/>
      <c r="L75" s="111">
        <f>SUM(L76:L76)</f>
        <v>0</v>
      </c>
      <c r="M75" s="100"/>
      <c r="Y75" s="100"/>
      <c r="AI75" s="111">
        <f>SUM(Z76:Z76)</f>
        <v>0</v>
      </c>
      <c r="AJ75" s="111">
        <f>SUM(AA76:AA76)</f>
        <v>0</v>
      </c>
      <c r="AK75" s="111">
        <f>SUM(AB76:AB76)</f>
        <v>0</v>
      </c>
    </row>
    <row r="76" spans="1:48" ht="12.75">
      <c r="A76" s="68" t="s">
        <v>91</v>
      </c>
      <c r="B76" s="68"/>
      <c r="C76" s="68" t="s">
        <v>141</v>
      </c>
      <c r="D76" s="68" t="s">
        <v>216</v>
      </c>
      <c r="E76" s="68" t="s">
        <v>242</v>
      </c>
      <c r="F76" s="87">
        <v>0.3</v>
      </c>
      <c r="G76" s="87">
        <v>0</v>
      </c>
      <c r="H76" s="87">
        <f>F76*AE76</f>
        <v>0</v>
      </c>
      <c r="I76" s="87">
        <f>J76-H76</f>
        <v>0</v>
      </c>
      <c r="J76" s="87">
        <f>F76*G76</f>
        <v>0</v>
      </c>
      <c r="K76" s="87">
        <v>0</v>
      </c>
      <c r="L76" s="87">
        <f>F76*K76</f>
        <v>0</v>
      </c>
      <c r="M76" s="105"/>
      <c r="P76" s="108">
        <f>IF(AG76="5",J76,0)</f>
        <v>0</v>
      </c>
      <c r="R76" s="108">
        <f>IF(AG76="1",H76,0)</f>
        <v>0</v>
      </c>
      <c r="S76" s="108">
        <f>IF(AG76="1",I76,0)</f>
        <v>0</v>
      </c>
      <c r="T76" s="108">
        <f>IF(AG76="7",H76,0)</f>
        <v>0</v>
      </c>
      <c r="U76" s="108">
        <f>IF(AG76="7",I76,0)</f>
        <v>0</v>
      </c>
      <c r="V76" s="108">
        <f>IF(AG76="2",H76,0)</f>
        <v>0</v>
      </c>
      <c r="W76" s="108">
        <f>IF(AG76="2",I76,0)</f>
        <v>0</v>
      </c>
      <c r="X76" s="108">
        <f>IF(AG76="0",J76,0)</f>
        <v>0</v>
      </c>
      <c r="Y76" s="100"/>
      <c r="Z76" s="87">
        <f>IF(AD76=0,J76,0)</f>
        <v>0</v>
      </c>
      <c r="AA76" s="87">
        <f>IF(AD76=15,J76,0)</f>
        <v>0</v>
      </c>
      <c r="AB76" s="87">
        <f>IF(AD76=21,J76,0)</f>
        <v>0</v>
      </c>
      <c r="AD76" s="108">
        <v>21</v>
      </c>
      <c r="AE76" s="108">
        <f>G76*0</f>
        <v>0</v>
      </c>
      <c r="AF76" s="108">
        <f>G76*(1-0)</f>
        <v>0</v>
      </c>
      <c r="AG76" s="105" t="s">
        <v>65</v>
      </c>
      <c r="AM76" s="108">
        <f>F76*AE76</f>
        <v>0</v>
      </c>
      <c r="AN76" s="108">
        <f>F76*AF76</f>
        <v>0</v>
      </c>
      <c r="AO76" s="109" t="s">
        <v>274</v>
      </c>
      <c r="AP76" s="109" t="s">
        <v>282</v>
      </c>
      <c r="AQ76" s="100" t="s">
        <v>284</v>
      </c>
      <c r="AS76" s="108">
        <f>AM76+AN76</f>
        <v>0</v>
      </c>
      <c r="AT76" s="108">
        <f>G76/(100-AU76)*100</f>
        <v>0</v>
      </c>
      <c r="AU76" s="108">
        <v>0</v>
      </c>
      <c r="AV76" s="108">
        <f>L76</f>
        <v>0</v>
      </c>
    </row>
    <row r="77" spans="1:37" ht="12.75">
      <c r="A77" s="67"/>
      <c r="B77" s="77"/>
      <c r="C77" s="77" t="s">
        <v>142</v>
      </c>
      <c r="D77" s="77" t="s">
        <v>217</v>
      </c>
      <c r="E77" s="84"/>
      <c r="F77" s="84"/>
      <c r="G77" s="84"/>
      <c r="H77" s="111">
        <f>SUM(H78:H78)</f>
        <v>0</v>
      </c>
      <c r="I77" s="111">
        <f>SUM(I78:I78)</f>
        <v>0</v>
      </c>
      <c r="J77" s="111">
        <f>H77+I77</f>
        <v>0</v>
      </c>
      <c r="K77" s="100"/>
      <c r="L77" s="111">
        <f>SUM(L78:L78)</f>
        <v>0</v>
      </c>
      <c r="M77" s="100"/>
      <c r="Y77" s="100"/>
      <c r="AI77" s="111">
        <f>SUM(Z78:Z78)</f>
        <v>0</v>
      </c>
      <c r="AJ77" s="111">
        <f>SUM(AA78:AA78)</f>
        <v>0</v>
      </c>
      <c r="AK77" s="111">
        <f>SUM(AB78:AB78)</f>
        <v>0</v>
      </c>
    </row>
    <row r="78" spans="1:48" ht="12.75">
      <c r="A78" s="68" t="s">
        <v>92</v>
      </c>
      <c r="B78" s="68"/>
      <c r="C78" s="68" t="s">
        <v>143</v>
      </c>
      <c r="D78" s="68" t="s">
        <v>217</v>
      </c>
      <c r="E78" s="68" t="s">
        <v>243</v>
      </c>
      <c r="F78" s="87">
        <v>18</v>
      </c>
      <c r="G78" s="87">
        <v>0</v>
      </c>
      <c r="H78" s="87">
        <f>F78*AE78</f>
        <v>0</v>
      </c>
      <c r="I78" s="87">
        <f>J78-H78</f>
        <v>0</v>
      </c>
      <c r="J78" s="87">
        <f>F78*G78</f>
        <v>0</v>
      </c>
      <c r="K78" s="87">
        <v>0</v>
      </c>
      <c r="L78" s="87">
        <f>F78*K78</f>
        <v>0</v>
      </c>
      <c r="M78" s="105"/>
      <c r="P78" s="108">
        <f>IF(AG78="5",J78,0)</f>
        <v>0</v>
      </c>
      <c r="R78" s="108">
        <f>IF(AG78="1",H78,0)</f>
        <v>0</v>
      </c>
      <c r="S78" s="108">
        <f>IF(AG78="1",I78,0)</f>
        <v>0</v>
      </c>
      <c r="T78" s="108">
        <f>IF(AG78="7",H78,0)</f>
        <v>0</v>
      </c>
      <c r="U78" s="108">
        <f>IF(AG78="7",I78,0)</f>
        <v>0</v>
      </c>
      <c r="V78" s="108">
        <f>IF(AG78="2",H78,0)</f>
        <v>0</v>
      </c>
      <c r="W78" s="108">
        <f>IF(AG78="2",I78,0)</f>
        <v>0</v>
      </c>
      <c r="X78" s="108">
        <f>IF(AG78="0",J78,0)</f>
        <v>0</v>
      </c>
      <c r="Y78" s="100"/>
      <c r="Z78" s="87">
        <f>IF(AD78=0,J78,0)</f>
        <v>0</v>
      </c>
      <c r="AA78" s="87">
        <f>IF(AD78=15,J78,0)</f>
        <v>0</v>
      </c>
      <c r="AB78" s="87">
        <f>IF(AD78=21,J78,0)</f>
        <v>0</v>
      </c>
      <c r="AD78" s="108">
        <v>21</v>
      </c>
      <c r="AE78" s="108">
        <f>G78*0</f>
        <v>0</v>
      </c>
      <c r="AF78" s="108">
        <f>G78*(1-0)</f>
        <v>0</v>
      </c>
      <c r="AG78" s="105" t="s">
        <v>65</v>
      </c>
      <c r="AM78" s="108">
        <f>F78*AE78</f>
        <v>0</v>
      </c>
      <c r="AN78" s="108">
        <f>F78*AF78</f>
        <v>0</v>
      </c>
      <c r="AO78" s="109" t="s">
        <v>275</v>
      </c>
      <c r="AP78" s="109" t="s">
        <v>282</v>
      </c>
      <c r="AQ78" s="100" t="s">
        <v>284</v>
      </c>
      <c r="AS78" s="108">
        <f>AM78+AN78</f>
        <v>0</v>
      </c>
      <c r="AT78" s="108">
        <f>G78/(100-AU78)*100</f>
        <v>0</v>
      </c>
      <c r="AU78" s="108">
        <v>0</v>
      </c>
      <c r="AV78" s="108">
        <f>L78</f>
        <v>0</v>
      </c>
    </row>
    <row r="79" spans="1:37" ht="12.75">
      <c r="A79" s="67"/>
      <c r="B79" s="77"/>
      <c r="C79" s="77" t="s">
        <v>144</v>
      </c>
      <c r="D79" s="77" t="s">
        <v>218</v>
      </c>
      <c r="E79" s="84"/>
      <c r="F79" s="84"/>
      <c r="G79" s="84"/>
      <c r="H79" s="111">
        <f>SUM(H80:H81)</f>
        <v>0</v>
      </c>
      <c r="I79" s="111">
        <f>SUM(I80:I81)</f>
        <v>0</v>
      </c>
      <c r="J79" s="111">
        <f>H79+I79</f>
        <v>0</v>
      </c>
      <c r="K79" s="100"/>
      <c r="L79" s="111">
        <f>SUM(L80:L81)</f>
        <v>3.37</v>
      </c>
      <c r="M79" s="100"/>
      <c r="Y79" s="100"/>
      <c r="AI79" s="111">
        <f>SUM(Z80:Z81)</f>
        <v>0</v>
      </c>
      <c r="AJ79" s="111">
        <f>SUM(AA80:AA81)</f>
        <v>0</v>
      </c>
      <c r="AK79" s="111">
        <f>SUM(AB80:AB81)</f>
        <v>0</v>
      </c>
    </row>
    <row r="80" spans="1:48" ht="12.75">
      <c r="A80" s="68" t="s">
        <v>93</v>
      </c>
      <c r="B80" s="68"/>
      <c r="C80" s="68" t="s">
        <v>145</v>
      </c>
      <c r="D80" s="68" t="s">
        <v>219</v>
      </c>
      <c r="E80" s="68" t="s">
        <v>240</v>
      </c>
      <c r="F80" s="87">
        <v>200</v>
      </c>
      <c r="G80" s="87">
        <v>0</v>
      </c>
      <c r="H80" s="87">
        <f>F80*AE80</f>
        <v>0</v>
      </c>
      <c r="I80" s="87">
        <f>J80-H80</f>
        <v>0</v>
      </c>
      <c r="J80" s="87">
        <f>F80*G80</f>
        <v>0</v>
      </c>
      <c r="K80" s="87">
        <v>0.01685</v>
      </c>
      <c r="L80" s="87">
        <f>F80*K80</f>
        <v>3.37</v>
      </c>
      <c r="M80" s="105" t="s">
        <v>257</v>
      </c>
      <c r="P80" s="108">
        <f>IF(AG80="5",J80,0)</f>
        <v>0</v>
      </c>
      <c r="R80" s="108">
        <f>IF(AG80="1",H80,0)</f>
        <v>0</v>
      </c>
      <c r="S80" s="108">
        <f>IF(AG80="1",I80,0)</f>
        <v>0</v>
      </c>
      <c r="T80" s="108">
        <f>IF(AG80="7",H80,0)</f>
        <v>0</v>
      </c>
      <c r="U80" s="108">
        <f>IF(AG80="7",I80,0)</f>
        <v>0</v>
      </c>
      <c r="V80" s="108">
        <f>IF(AG80="2",H80,0)</f>
        <v>0</v>
      </c>
      <c r="W80" s="108">
        <f>IF(AG80="2",I80,0)</f>
        <v>0</v>
      </c>
      <c r="X80" s="108">
        <f>IF(AG80="0",J80,0)</f>
        <v>0</v>
      </c>
      <c r="Y80" s="100"/>
      <c r="Z80" s="87">
        <f>IF(AD80=0,J80,0)</f>
        <v>0</v>
      </c>
      <c r="AA80" s="87">
        <f>IF(AD80=15,J80,0)</f>
        <v>0</v>
      </c>
      <c r="AB80" s="87">
        <f>IF(AD80=21,J80,0)</f>
        <v>0</v>
      </c>
      <c r="AD80" s="108">
        <v>21</v>
      </c>
      <c r="AE80" s="108">
        <f>G80*0.713760117733628</f>
        <v>0</v>
      </c>
      <c r="AF80" s="108">
        <f>G80*(1-0.713760117733628)</f>
        <v>0</v>
      </c>
      <c r="AG80" s="105" t="s">
        <v>65</v>
      </c>
      <c r="AM80" s="108">
        <f>F80*AE80</f>
        <v>0</v>
      </c>
      <c r="AN80" s="108">
        <f>F80*AF80</f>
        <v>0</v>
      </c>
      <c r="AO80" s="109" t="s">
        <v>276</v>
      </c>
      <c r="AP80" s="109" t="s">
        <v>282</v>
      </c>
      <c r="AQ80" s="100" t="s">
        <v>284</v>
      </c>
      <c r="AS80" s="108">
        <f>AM80+AN80</f>
        <v>0</v>
      </c>
      <c r="AT80" s="108">
        <f>G80/(100-AU80)*100</f>
        <v>0</v>
      </c>
      <c r="AU80" s="108">
        <v>0</v>
      </c>
      <c r="AV80" s="108">
        <f>L80</f>
        <v>3.37</v>
      </c>
    </row>
    <row r="81" spans="1:48" ht="12.75">
      <c r="A81" s="68" t="s">
        <v>94</v>
      </c>
      <c r="B81" s="68"/>
      <c r="C81" s="68" t="s">
        <v>146</v>
      </c>
      <c r="D81" s="68" t="s">
        <v>220</v>
      </c>
      <c r="E81" s="68" t="s">
        <v>240</v>
      </c>
      <c r="F81" s="87">
        <v>200</v>
      </c>
      <c r="G81" s="87">
        <v>0</v>
      </c>
      <c r="H81" s="87">
        <f>F81*AE81</f>
        <v>0</v>
      </c>
      <c r="I81" s="87">
        <f>J81-H81</f>
        <v>0</v>
      </c>
      <c r="J81" s="87">
        <f>F81*G81</f>
        <v>0</v>
      </c>
      <c r="K81" s="87">
        <v>0</v>
      </c>
      <c r="L81" s="87">
        <f>F81*K81</f>
        <v>0</v>
      </c>
      <c r="M81" s="105" t="s">
        <v>257</v>
      </c>
      <c r="P81" s="108">
        <f>IF(AG81="5",J81,0)</f>
        <v>0</v>
      </c>
      <c r="R81" s="108">
        <f>IF(AG81="1",H81,0)</f>
        <v>0</v>
      </c>
      <c r="S81" s="108">
        <f>IF(AG81="1",I81,0)</f>
        <v>0</v>
      </c>
      <c r="T81" s="108">
        <f>IF(AG81="7",H81,0)</f>
        <v>0</v>
      </c>
      <c r="U81" s="108">
        <f>IF(AG81="7",I81,0)</f>
        <v>0</v>
      </c>
      <c r="V81" s="108">
        <f>IF(AG81="2",H81,0)</f>
        <v>0</v>
      </c>
      <c r="W81" s="108">
        <f>IF(AG81="2",I81,0)</f>
        <v>0</v>
      </c>
      <c r="X81" s="108">
        <f>IF(AG81="0",J81,0)</f>
        <v>0</v>
      </c>
      <c r="Y81" s="100"/>
      <c r="Z81" s="87">
        <f>IF(AD81=0,J81,0)</f>
        <v>0</v>
      </c>
      <c r="AA81" s="87">
        <f>IF(AD81=15,J81,0)</f>
        <v>0</v>
      </c>
      <c r="AB81" s="87">
        <f>IF(AD81=21,J81,0)</f>
        <v>0</v>
      </c>
      <c r="AD81" s="108">
        <v>21</v>
      </c>
      <c r="AE81" s="108">
        <f>G81*0</f>
        <v>0</v>
      </c>
      <c r="AF81" s="108">
        <f>G81*(1-0)</f>
        <v>0</v>
      </c>
      <c r="AG81" s="105" t="s">
        <v>65</v>
      </c>
      <c r="AM81" s="108">
        <f>F81*AE81</f>
        <v>0</v>
      </c>
      <c r="AN81" s="108">
        <f>F81*AF81</f>
        <v>0</v>
      </c>
      <c r="AO81" s="109" t="s">
        <v>276</v>
      </c>
      <c r="AP81" s="109" t="s">
        <v>282</v>
      </c>
      <c r="AQ81" s="100" t="s">
        <v>284</v>
      </c>
      <c r="AS81" s="108">
        <f>AM81+AN81</f>
        <v>0</v>
      </c>
      <c r="AT81" s="108">
        <f>G81/(100-AU81)*100</f>
        <v>0</v>
      </c>
      <c r="AU81" s="108">
        <v>0</v>
      </c>
      <c r="AV81" s="108">
        <f>L81</f>
        <v>0</v>
      </c>
    </row>
    <row r="82" spans="1:37" ht="12.75">
      <c r="A82" s="67"/>
      <c r="B82" s="77"/>
      <c r="C82" s="77" t="s">
        <v>147</v>
      </c>
      <c r="D82" s="77" t="s">
        <v>221</v>
      </c>
      <c r="E82" s="84"/>
      <c r="F82" s="84"/>
      <c r="G82" s="84"/>
      <c r="H82" s="111">
        <f>SUM(H83:H84)</f>
        <v>0</v>
      </c>
      <c r="I82" s="111">
        <f>SUM(I83:I84)</f>
        <v>0</v>
      </c>
      <c r="J82" s="111">
        <f>H82+I82</f>
        <v>0</v>
      </c>
      <c r="K82" s="100"/>
      <c r="L82" s="111">
        <f>SUM(L83:L84)</f>
        <v>0</v>
      </c>
      <c r="M82" s="100"/>
      <c r="Y82" s="100"/>
      <c r="AI82" s="111">
        <f>SUM(Z83:Z84)</f>
        <v>0</v>
      </c>
      <c r="AJ82" s="111">
        <f>SUM(AA83:AA84)</f>
        <v>0</v>
      </c>
      <c r="AK82" s="111">
        <f>SUM(AB83:AB84)</f>
        <v>0</v>
      </c>
    </row>
    <row r="83" spans="1:48" ht="12.75">
      <c r="A83" s="68" t="s">
        <v>95</v>
      </c>
      <c r="B83" s="68"/>
      <c r="C83" s="68" t="s">
        <v>148</v>
      </c>
      <c r="D83" s="68" t="s">
        <v>222</v>
      </c>
      <c r="E83" s="68" t="s">
        <v>244</v>
      </c>
      <c r="F83" s="87">
        <v>2</v>
      </c>
      <c r="G83" s="87">
        <v>0</v>
      </c>
      <c r="H83" s="87">
        <f>F83*AE83</f>
        <v>0</v>
      </c>
      <c r="I83" s="87">
        <f>J83-H83</f>
        <v>0</v>
      </c>
      <c r="J83" s="87">
        <f>F83*G83</f>
        <v>0</v>
      </c>
      <c r="K83" s="87">
        <v>0</v>
      </c>
      <c r="L83" s="87">
        <f>F83*K83</f>
        <v>0</v>
      </c>
      <c r="M83" s="105" t="s">
        <v>257</v>
      </c>
      <c r="P83" s="108">
        <f>IF(AG83="5",J83,0)</f>
        <v>0</v>
      </c>
      <c r="R83" s="108">
        <f>IF(AG83="1",H83,0)</f>
        <v>0</v>
      </c>
      <c r="S83" s="108">
        <f>IF(AG83="1",I83,0)</f>
        <v>0</v>
      </c>
      <c r="T83" s="108">
        <f>IF(AG83="7",H83,0)</f>
        <v>0</v>
      </c>
      <c r="U83" s="108">
        <f>IF(AG83="7",I83,0)</f>
        <v>0</v>
      </c>
      <c r="V83" s="108">
        <f>IF(AG83="2",H83,0)</f>
        <v>0</v>
      </c>
      <c r="W83" s="108">
        <f>IF(AG83="2",I83,0)</f>
        <v>0</v>
      </c>
      <c r="X83" s="108">
        <f>IF(AG83="0",J83,0)</f>
        <v>0</v>
      </c>
      <c r="Y83" s="100"/>
      <c r="Z83" s="87">
        <f>IF(AD83=0,J83,0)</f>
        <v>0</v>
      </c>
      <c r="AA83" s="87">
        <f>IF(AD83=15,J83,0)</f>
        <v>0</v>
      </c>
      <c r="AB83" s="87">
        <f>IF(AD83=21,J83,0)</f>
        <v>0</v>
      </c>
      <c r="AD83" s="108">
        <v>21</v>
      </c>
      <c r="AE83" s="108">
        <f>G83*0</f>
        <v>0</v>
      </c>
      <c r="AF83" s="108">
        <f>G83*(1-0)</f>
        <v>0</v>
      </c>
      <c r="AG83" s="105" t="s">
        <v>68</v>
      </c>
      <c r="AM83" s="108">
        <f>F83*AE83</f>
        <v>0</v>
      </c>
      <c r="AN83" s="108">
        <f>F83*AF83</f>
        <v>0</v>
      </c>
      <c r="AO83" s="109" t="s">
        <v>277</v>
      </c>
      <c r="AP83" s="109" t="s">
        <v>282</v>
      </c>
      <c r="AQ83" s="100" t="s">
        <v>284</v>
      </c>
      <c r="AS83" s="108">
        <f>AM83+AN83</f>
        <v>0</v>
      </c>
      <c r="AT83" s="108">
        <f>G83/(100-AU83)*100</f>
        <v>0</v>
      </c>
      <c r="AU83" s="108">
        <v>0</v>
      </c>
      <c r="AV83" s="108">
        <f>L83</f>
        <v>0</v>
      </c>
    </row>
    <row r="84" spans="1:48" ht="12.75">
      <c r="A84" s="68" t="s">
        <v>96</v>
      </c>
      <c r="B84" s="68"/>
      <c r="C84" s="68" t="s">
        <v>149</v>
      </c>
      <c r="D84" s="68" t="s">
        <v>223</v>
      </c>
      <c r="E84" s="68" t="s">
        <v>245</v>
      </c>
      <c r="F84" s="87">
        <v>50</v>
      </c>
      <c r="G84" s="87">
        <v>0</v>
      </c>
      <c r="H84" s="87">
        <f>F84*AE84</f>
        <v>0</v>
      </c>
      <c r="I84" s="87">
        <f>J84-H84</f>
        <v>0</v>
      </c>
      <c r="J84" s="87">
        <f>F84*G84</f>
        <v>0</v>
      </c>
      <c r="K84" s="87">
        <v>0</v>
      </c>
      <c r="L84" s="87">
        <f>F84*K84</f>
        <v>0</v>
      </c>
      <c r="M84" s="105" t="s">
        <v>257</v>
      </c>
      <c r="P84" s="108">
        <f>IF(AG84="5",J84,0)</f>
        <v>0</v>
      </c>
      <c r="R84" s="108">
        <f>IF(AG84="1",H84,0)</f>
        <v>0</v>
      </c>
      <c r="S84" s="108">
        <f>IF(AG84="1",I84,0)</f>
        <v>0</v>
      </c>
      <c r="T84" s="108">
        <f>IF(AG84="7",H84,0)</f>
        <v>0</v>
      </c>
      <c r="U84" s="108">
        <f>IF(AG84="7",I84,0)</f>
        <v>0</v>
      </c>
      <c r="V84" s="108">
        <f>IF(AG84="2",H84,0)</f>
        <v>0</v>
      </c>
      <c r="W84" s="108">
        <f>IF(AG84="2",I84,0)</f>
        <v>0</v>
      </c>
      <c r="X84" s="108">
        <f>IF(AG84="0",J84,0)</f>
        <v>0</v>
      </c>
      <c r="Y84" s="100"/>
      <c r="Z84" s="87">
        <f>IF(AD84=0,J84,0)</f>
        <v>0</v>
      </c>
      <c r="AA84" s="87">
        <f>IF(AD84=15,J84,0)</f>
        <v>0</v>
      </c>
      <c r="AB84" s="87">
        <f>IF(AD84=21,J84,0)</f>
        <v>0</v>
      </c>
      <c r="AD84" s="108">
        <v>21</v>
      </c>
      <c r="AE84" s="108">
        <f>G84*0</f>
        <v>0</v>
      </c>
      <c r="AF84" s="108">
        <f>G84*(1-0)</f>
        <v>0</v>
      </c>
      <c r="AG84" s="105" t="s">
        <v>68</v>
      </c>
      <c r="AM84" s="108">
        <f>F84*AE84</f>
        <v>0</v>
      </c>
      <c r="AN84" s="108">
        <f>F84*AF84</f>
        <v>0</v>
      </c>
      <c r="AO84" s="109" t="s">
        <v>277</v>
      </c>
      <c r="AP84" s="109" t="s">
        <v>282</v>
      </c>
      <c r="AQ84" s="100" t="s">
        <v>284</v>
      </c>
      <c r="AS84" s="108">
        <f>AM84+AN84</f>
        <v>0</v>
      </c>
      <c r="AT84" s="108">
        <f>G84/(100-AU84)*100</f>
        <v>0</v>
      </c>
      <c r="AU84" s="108">
        <v>0</v>
      </c>
      <c r="AV84" s="108">
        <f>L84</f>
        <v>0</v>
      </c>
    </row>
    <row r="85" spans="1:37" ht="12.75">
      <c r="A85" s="67"/>
      <c r="B85" s="77"/>
      <c r="C85" s="77"/>
      <c r="D85" s="77" t="s">
        <v>10</v>
      </c>
      <c r="E85" s="84"/>
      <c r="F85" s="84"/>
      <c r="G85" s="84"/>
      <c r="H85" s="111">
        <f>SUM(H86:H94)</f>
        <v>0</v>
      </c>
      <c r="I85" s="111">
        <f>SUM(I86:I94)</f>
        <v>0</v>
      </c>
      <c r="J85" s="111">
        <f>H85+I85</f>
        <v>0</v>
      </c>
      <c r="K85" s="100"/>
      <c r="L85" s="111">
        <f>SUM(L86:L94)</f>
        <v>2E-05</v>
      </c>
      <c r="M85" s="100"/>
      <c r="Y85" s="100"/>
      <c r="AI85" s="111">
        <f>SUM(Z86:Z94)</f>
        <v>0</v>
      </c>
      <c r="AJ85" s="111">
        <f>SUM(AA86:AA94)</f>
        <v>0</v>
      </c>
      <c r="AK85" s="111">
        <f>SUM(AB86:AB94)</f>
        <v>0</v>
      </c>
    </row>
    <row r="86" spans="1:48" ht="12.75">
      <c r="A86" s="69" t="s">
        <v>97</v>
      </c>
      <c r="B86" s="69"/>
      <c r="C86" s="69" t="s">
        <v>150</v>
      </c>
      <c r="D86" s="69" t="s">
        <v>224</v>
      </c>
      <c r="E86" s="69" t="s">
        <v>238</v>
      </c>
      <c r="F86" s="88">
        <v>2</v>
      </c>
      <c r="G86" s="88">
        <v>0</v>
      </c>
      <c r="H86" s="88">
        <f>F86*AE86</f>
        <v>0</v>
      </c>
      <c r="I86" s="88">
        <f>J86-H86</f>
        <v>0</v>
      </c>
      <c r="J86" s="88">
        <f>F86*G86</f>
        <v>0</v>
      </c>
      <c r="K86" s="88">
        <v>1E-05</v>
      </c>
      <c r="L86" s="88">
        <f>F86*K86</f>
        <v>2E-05</v>
      </c>
      <c r="M86" s="106" t="s">
        <v>257</v>
      </c>
      <c r="P86" s="108">
        <f>IF(AG86="5",J86,0)</f>
        <v>0</v>
      </c>
      <c r="R86" s="108">
        <f>IF(AG86="1",H86,0)</f>
        <v>0</v>
      </c>
      <c r="S86" s="108">
        <f>IF(AG86="1",I86,0)</f>
        <v>0</v>
      </c>
      <c r="T86" s="108">
        <f>IF(AG86="7",H86,0)</f>
        <v>0</v>
      </c>
      <c r="U86" s="108">
        <f>IF(AG86="7",I86,0)</f>
        <v>0</v>
      </c>
      <c r="V86" s="108">
        <f>IF(AG86="2",H86,0)</f>
        <v>0</v>
      </c>
      <c r="W86" s="108">
        <f>IF(AG86="2",I86,0)</f>
        <v>0</v>
      </c>
      <c r="X86" s="108">
        <f>IF(AG86="0",J86,0)</f>
        <v>0</v>
      </c>
      <c r="Y86" s="100"/>
      <c r="Z86" s="88">
        <f>IF(AD86=0,J86,0)</f>
        <v>0</v>
      </c>
      <c r="AA86" s="88">
        <f>IF(AD86=15,J86,0)</f>
        <v>0</v>
      </c>
      <c r="AB86" s="88">
        <f>IF(AD86=21,J86,0)</f>
        <v>0</v>
      </c>
      <c r="AD86" s="108">
        <v>21</v>
      </c>
      <c r="AE86" s="108">
        <f>G86*1</f>
        <v>0</v>
      </c>
      <c r="AF86" s="108">
        <f>G86*(1-1)</f>
        <v>0</v>
      </c>
      <c r="AG86" s="106" t="s">
        <v>267</v>
      </c>
      <c r="AM86" s="108">
        <f>F86*AE86</f>
        <v>0</v>
      </c>
      <c r="AN86" s="108">
        <f>F86*AF86</f>
        <v>0</v>
      </c>
      <c r="AO86" s="109" t="s">
        <v>278</v>
      </c>
      <c r="AP86" s="109" t="s">
        <v>283</v>
      </c>
      <c r="AQ86" s="100" t="s">
        <v>284</v>
      </c>
      <c r="AS86" s="108">
        <f>AM86+AN86</f>
        <v>0</v>
      </c>
      <c r="AT86" s="108">
        <f>G86/(100-AU86)*100</f>
        <v>0</v>
      </c>
      <c r="AU86" s="108">
        <v>0</v>
      </c>
      <c r="AV86" s="108">
        <f>L86</f>
        <v>2E-05</v>
      </c>
    </row>
    <row r="87" spans="3:13" ht="51" customHeight="1">
      <c r="C87" s="78" t="s">
        <v>112</v>
      </c>
      <c r="D87" s="81" t="s">
        <v>225</v>
      </c>
      <c r="E87" s="85"/>
      <c r="F87" s="85"/>
      <c r="G87" s="85"/>
      <c r="H87" s="85"/>
      <c r="I87" s="85"/>
      <c r="J87" s="85"/>
      <c r="K87" s="85"/>
      <c r="L87" s="85"/>
      <c r="M87" s="85"/>
    </row>
    <row r="88" spans="1:48" ht="12.75">
      <c r="A88" s="69" t="s">
        <v>98</v>
      </c>
      <c r="B88" s="69"/>
      <c r="C88" s="69" t="s">
        <v>151</v>
      </c>
      <c r="D88" s="69" t="s">
        <v>226</v>
      </c>
      <c r="E88" s="69" t="s">
        <v>236</v>
      </c>
      <c r="F88" s="88">
        <v>34</v>
      </c>
      <c r="G88" s="88">
        <v>0</v>
      </c>
      <c r="H88" s="88">
        <f>F88*AE88</f>
        <v>0</v>
      </c>
      <c r="I88" s="88">
        <f>J88-H88</f>
        <v>0</v>
      </c>
      <c r="J88" s="88">
        <f>F88*G88</f>
        <v>0</v>
      </c>
      <c r="K88" s="88">
        <v>0</v>
      </c>
      <c r="L88" s="88">
        <f>F88*K88</f>
        <v>0</v>
      </c>
      <c r="M88" s="106"/>
      <c r="P88" s="108">
        <f>IF(AG88="5",J88,0)</f>
        <v>0</v>
      </c>
      <c r="R88" s="108">
        <f>IF(AG88="1",H88,0)</f>
        <v>0</v>
      </c>
      <c r="S88" s="108">
        <f>IF(AG88="1",I88,0)</f>
        <v>0</v>
      </c>
      <c r="T88" s="108">
        <f>IF(AG88="7",H88,0)</f>
        <v>0</v>
      </c>
      <c r="U88" s="108">
        <f>IF(AG88="7",I88,0)</f>
        <v>0</v>
      </c>
      <c r="V88" s="108">
        <f>IF(AG88="2",H88,0)</f>
        <v>0</v>
      </c>
      <c r="W88" s="108">
        <f>IF(AG88="2",I88,0)</f>
        <v>0</v>
      </c>
      <c r="X88" s="108">
        <f>IF(AG88="0",J88,0)</f>
        <v>0</v>
      </c>
      <c r="Y88" s="100"/>
      <c r="Z88" s="88">
        <f>IF(AD88=0,J88,0)</f>
        <v>0</v>
      </c>
      <c r="AA88" s="88">
        <f>IF(AD88=15,J88,0)</f>
        <v>0</v>
      </c>
      <c r="AB88" s="88">
        <f>IF(AD88=21,J88,0)</f>
        <v>0</v>
      </c>
      <c r="AD88" s="108">
        <v>21</v>
      </c>
      <c r="AE88" s="108">
        <f>G88*1</f>
        <v>0</v>
      </c>
      <c r="AF88" s="108">
        <f>G88*(1-1)</f>
        <v>0</v>
      </c>
      <c r="AG88" s="106" t="s">
        <v>267</v>
      </c>
      <c r="AM88" s="108">
        <f>F88*AE88</f>
        <v>0</v>
      </c>
      <c r="AN88" s="108">
        <f>F88*AF88</f>
        <v>0</v>
      </c>
      <c r="AO88" s="109" t="s">
        <v>278</v>
      </c>
      <c r="AP88" s="109" t="s">
        <v>283</v>
      </c>
      <c r="AQ88" s="100" t="s">
        <v>284</v>
      </c>
      <c r="AS88" s="108">
        <f>AM88+AN88</f>
        <v>0</v>
      </c>
      <c r="AT88" s="108">
        <f>G88/(100-AU88)*100</f>
        <v>0</v>
      </c>
      <c r="AU88" s="108">
        <v>0</v>
      </c>
      <c r="AV88" s="108">
        <f>L88</f>
        <v>0</v>
      </c>
    </row>
    <row r="89" spans="1:48" ht="12.75">
      <c r="A89" s="69" t="s">
        <v>99</v>
      </c>
      <c r="B89" s="69"/>
      <c r="C89" s="69" t="s">
        <v>152</v>
      </c>
      <c r="D89" s="69" t="s">
        <v>227</v>
      </c>
      <c r="E89" s="69" t="s">
        <v>236</v>
      </c>
      <c r="F89" s="88">
        <v>61</v>
      </c>
      <c r="G89" s="88">
        <v>0</v>
      </c>
      <c r="H89" s="88">
        <f>F89*AE89</f>
        <v>0</v>
      </c>
      <c r="I89" s="88">
        <f>J89-H89</f>
        <v>0</v>
      </c>
      <c r="J89" s="88">
        <f>F89*G89</f>
        <v>0</v>
      </c>
      <c r="K89" s="88">
        <v>0</v>
      </c>
      <c r="L89" s="88">
        <f>F89*K89</f>
        <v>0</v>
      </c>
      <c r="M89" s="106"/>
      <c r="P89" s="108">
        <f>IF(AG89="5",J89,0)</f>
        <v>0</v>
      </c>
      <c r="R89" s="108">
        <f>IF(AG89="1",H89,0)</f>
        <v>0</v>
      </c>
      <c r="S89" s="108">
        <f>IF(AG89="1",I89,0)</f>
        <v>0</v>
      </c>
      <c r="T89" s="108">
        <f>IF(AG89="7",H89,0)</f>
        <v>0</v>
      </c>
      <c r="U89" s="108">
        <f>IF(AG89="7",I89,0)</f>
        <v>0</v>
      </c>
      <c r="V89" s="108">
        <f>IF(AG89="2",H89,0)</f>
        <v>0</v>
      </c>
      <c r="W89" s="108">
        <f>IF(AG89="2",I89,0)</f>
        <v>0</v>
      </c>
      <c r="X89" s="108">
        <f>IF(AG89="0",J89,0)</f>
        <v>0</v>
      </c>
      <c r="Y89" s="100"/>
      <c r="Z89" s="88">
        <f>IF(AD89=0,J89,0)</f>
        <v>0</v>
      </c>
      <c r="AA89" s="88">
        <f>IF(AD89=15,J89,0)</f>
        <v>0</v>
      </c>
      <c r="AB89" s="88">
        <f>IF(AD89=21,J89,0)</f>
        <v>0</v>
      </c>
      <c r="AD89" s="108">
        <v>21</v>
      </c>
      <c r="AE89" s="108">
        <f>G89*1</f>
        <v>0</v>
      </c>
      <c r="AF89" s="108">
        <f>G89*(1-1)</f>
        <v>0</v>
      </c>
      <c r="AG89" s="106" t="s">
        <v>267</v>
      </c>
      <c r="AM89" s="108">
        <f>F89*AE89</f>
        <v>0</v>
      </c>
      <c r="AN89" s="108">
        <f>F89*AF89</f>
        <v>0</v>
      </c>
      <c r="AO89" s="109" t="s">
        <v>278</v>
      </c>
      <c r="AP89" s="109" t="s">
        <v>283</v>
      </c>
      <c r="AQ89" s="100" t="s">
        <v>284</v>
      </c>
      <c r="AS89" s="108">
        <f>AM89+AN89</f>
        <v>0</v>
      </c>
      <c r="AT89" s="108">
        <f>G89/(100-AU89)*100</f>
        <v>0</v>
      </c>
      <c r="AU89" s="108">
        <v>0</v>
      </c>
      <c r="AV89" s="108">
        <f>L89</f>
        <v>0</v>
      </c>
    </row>
    <row r="90" spans="1:48" ht="12.75">
      <c r="A90" s="69" t="s">
        <v>100</v>
      </c>
      <c r="B90" s="69"/>
      <c r="C90" s="69" t="s">
        <v>153</v>
      </c>
      <c r="D90" s="69" t="s">
        <v>228</v>
      </c>
      <c r="E90" s="69" t="s">
        <v>236</v>
      </c>
      <c r="F90" s="88">
        <v>2</v>
      </c>
      <c r="G90" s="88">
        <v>0</v>
      </c>
      <c r="H90" s="88">
        <f>F90*AE90</f>
        <v>0</v>
      </c>
      <c r="I90" s="88">
        <f>J90-H90</f>
        <v>0</v>
      </c>
      <c r="J90" s="88">
        <f>F90*G90</f>
        <v>0</v>
      </c>
      <c r="K90" s="88">
        <v>0</v>
      </c>
      <c r="L90" s="88">
        <f>F90*K90</f>
        <v>0</v>
      </c>
      <c r="M90" s="106"/>
      <c r="P90" s="108">
        <f>IF(AG90="5",J90,0)</f>
        <v>0</v>
      </c>
      <c r="R90" s="108">
        <f>IF(AG90="1",H90,0)</f>
        <v>0</v>
      </c>
      <c r="S90" s="108">
        <f>IF(AG90="1",I90,0)</f>
        <v>0</v>
      </c>
      <c r="T90" s="108">
        <f>IF(AG90="7",H90,0)</f>
        <v>0</v>
      </c>
      <c r="U90" s="108">
        <f>IF(AG90="7",I90,0)</f>
        <v>0</v>
      </c>
      <c r="V90" s="108">
        <f>IF(AG90="2",H90,0)</f>
        <v>0</v>
      </c>
      <c r="W90" s="108">
        <f>IF(AG90="2",I90,0)</f>
        <v>0</v>
      </c>
      <c r="X90" s="108">
        <f>IF(AG90="0",J90,0)</f>
        <v>0</v>
      </c>
      <c r="Y90" s="100"/>
      <c r="Z90" s="88">
        <f>IF(AD90=0,J90,0)</f>
        <v>0</v>
      </c>
      <c r="AA90" s="88">
        <f>IF(AD90=15,J90,0)</f>
        <v>0</v>
      </c>
      <c r="AB90" s="88">
        <f>IF(AD90=21,J90,0)</f>
        <v>0</v>
      </c>
      <c r="AD90" s="108">
        <v>21</v>
      </c>
      <c r="AE90" s="108">
        <f>G90*1</f>
        <v>0</v>
      </c>
      <c r="AF90" s="108">
        <f>G90*(1-1)</f>
        <v>0</v>
      </c>
      <c r="AG90" s="106" t="s">
        <v>267</v>
      </c>
      <c r="AM90" s="108">
        <f>F90*AE90</f>
        <v>0</v>
      </c>
      <c r="AN90" s="108">
        <f>F90*AF90</f>
        <v>0</v>
      </c>
      <c r="AO90" s="109" t="s">
        <v>278</v>
      </c>
      <c r="AP90" s="109" t="s">
        <v>283</v>
      </c>
      <c r="AQ90" s="100" t="s">
        <v>284</v>
      </c>
      <c r="AS90" s="108">
        <f>AM90+AN90</f>
        <v>0</v>
      </c>
      <c r="AT90" s="108">
        <f>G90/(100-AU90)*100</f>
        <v>0</v>
      </c>
      <c r="AU90" s="108">
        <v>0</v>
      </c>
      <c r="AV90" s="108">
        <f>L90</f>
        <v>0</v>
      </c>
    </row>
    <row r="91" spans="1:48" ht="12.75">
      <c r="A91" s="69" t="s">
        <v>101</v>
      </c>
      <c r="B91" s="69"/>
      <c r="C91" s="69" t="s">
        <v>154</v>
      </c>
      <c r="D91" s="69" t="s">
        <v>229</v>
      </c>
      <c r="E91" s="69" t="s">
        <v>236</v>
      </c>
      <c r="F91" s="88">
        <v>5</v>
      </c>
      <c r="G91" s="88">
        <v>0</v>
      </c>
      <c r="H91" s="88">
        <f>F91*AE91</f>
        <v>0</v>
      </c>
      <c r="I91" s="88">
        <f>J91-H91</f>
        <v>0</v>
      </c>
      <c r="J91" s="88">
        <f>F91*G91</f>
        <v>0</v>
      </c>
      <c r="K91" s="88">
        <v>0</v>
      </c>
      <c r="L91" s="88">
        <f>F91*K91</f>
        <v>0</v>
      </c>
      <c r="M91" s="106"/>
      <c r="P91" s="108">
        <f>IF(AG91="5",J91,0)</f>
        <v>0</v>
      </c>
      <c r="R91" s="108">
        <f>IF(AG91="1",H91,0)</f>
        <v>0</v>
      </c>
      <c r="S91" s="108">
        <f>IF(AG91="1",I91,0)</f>
        <v>0</v>
      </c>
      <c r="T91" s="108">
        <f>IF(AG91="7",H91,0)</f>
        <v>0</v>
      </c>
      <c r="U91" s="108">
        <f>IF(AG91="7",I91,0)</f>
        <v>0</v>
      </c>
      <c r="V91" s="108">
        <f>IF(AG91="2",H91,0)</f>
        <v>0</v>
      </c>
      <c r="W91" s="108">
        <f>IF(AG91="2",I91,0)</f>
        <v>0</v>
      </c>
      <c r="X91" s="108">
        <f>IF(AG91="0",J91,0)</f>
        <v>0</v>
      </c>
      <c r="Y91" s="100"/>
      <c r="Z91" s="88">
        <f>IF(AD91=0,J91,0)</f>
        <v>0</v>
      </c>
      <c r="AA91" s="88">
        <f>IF(AD91=15,J91,0)</f>
        <v>0</v>
      </c>
      <c r="AB91" s="88">
        <f>IF(AD91=21,J91,0)</f>
        <v>0</v>
      </c>
      <c r="AD91" s="108">
        <v>21</v>
      </c>
      <c r="AE91" s="108">
        <f>G91*1</f>
        <v>0</v>
      </c>
      <c r="AF91" s="108">
        <f>G91*(1-1)</f>
        <v>0</v>
      </c>
      <c r="AG91" s="106" t="s">
        <v>267</v>
      </c>
      <c r="AM91" s="108">
        <f>F91*AE91</f>
        <v>0</v>
      </c>
      <c r="AN91" s="108">
        <f>F91*AF91</f>
        <v>0</v>
      </c>
      <c r="AO91" s="109" t="s">
        <v>278</v>
      </c>
      <c r="AP91" s="109" t="s">
        <v>283</v>
      </c>
      <c r="AQ91" s="100" t="s">
        <v>284</v>
      </c>
      <c r="AS91" s="108">
        <f>AM91+AN91</f>
        <v>0</v>
      </c>
      <c r="AT91" s="108">
        <f>G91/(100-AU91)*100</f>
        <v>0</v>
      </c>
      <c r="AU91" s="108">
        <v>0</v>
      </c>
      <c r="AV91" s="108">
        <f>L91</f>
        <v>0</v>
      </c>
    </row>
    <row r="92" spans="1:48" ht="12.75">
      <c r="A92" s="69" t="s">
        <v>102</v>
      </c>
      <c r="B92" s="69"/>
      <c r="C92" s="69" t="s">
        <v>155</v>
      </c>
      <c r="D92" s="69" t="s">
        <v>230</v>
      </c>
      <c r="E92" s="69" t="s">
        <v>236</v>
      </c>
      <c r="F92" s="88">
        <v>4</v>
      </c>
      <c r="G92" s="88">
        <v>0</v>
      </c>
      <c r="H92" s="88">
        <f>F92*AE92</f>
        <v>0</v>
      </c>
      <c r="I92" s="88">
        <f>J92-H92</f>
        <v>0</v>
      </c>
      <c r="J92" s="88">
        <f>F92*G92</f>
        <v>0</v>
      </c>
      <c r="K92" s="88">
        <v>0</v>
      </c>
      <c r="L92" s="88">
        <f>F92*K92</f>
        <v>0</v>
      </c>
      <c r="M92" s="106"/>
      <c r="P92" s="108">
        <f>IF(AG92="5",J92,0)</f>
        <v>0</v>
      </c>
      <c r="R92" s="108">
        <f>IF(AG92="1",H92,0)</f>
        <v>0</v>
      </c>
      <c r="S92" s="108">
        <f>IF(AG92="1",I92,0)</f>
        <v>0</v>
      </c>
      <c r="T92" s="108">
        <f>IF(AG92="7",H92,0)</f>
        <v>0</v>
      </c>
      <c r="U92" s="108">
        <f>IF(AG92="7",I92,0)</f>
        <v>0</v>
      </c>
      <c r="V92" s="108">
        <f>IF(AG92="2",H92,0)</f>
        <v>0</v>
      </c>
      <c r="W92" s="108">
        <f>IF(AG92="2",I92,0)</f>
        <v>0</v>
      </c>
      <c r="X92" s="108">
        <f>IF(AG92="0",J92,0)</f>
        <v>0</v>
      </c>
      <c r="Y92" s="100"/>
      <c r="Z92" s="88">
        <f>IF(AD92=0,J92,0)</f>
        <v>0</v>
      </c>
      <c r="AA92" s="88">
        <f>IF(AD92=15,J92,0)</f>
        <v>0</v>
      </c>
      <c r="AB92" s="88">
        <f>IF(AD92=21,J92,0)</f>
        <v>0</v>
      </c>
      <c r="AD92" s="108">
        <v>21</v>
      </c>
      <c r="AE92" s="108">
        <f>G92*1</f>
        <v>0</v>
      </c>
      <c r="AF92" s="108">
        <f>G92*(1-1)</f>
        <v>0</v>
      </c>
      <c r="AG92" s="106" t="s">
        <v>267</v>
      </c>
      <c r="AM92" s="108">
        <f>F92*AE92</f>
        <v>0</v>
      </c>
      <c r="AN92" s="108">
        <f>F92*AF92</f>
        <v>0</v>
      </c>
      <c r="AO92" s="109" t="s">
        <v>278</v>
      </c>
      <c r="AP92" s="109" t="s">
        <v>283</v>
      </c>
      <c r="AQ92" s="100" t="s">
        <v>284</v>
      </c>
      <c r="AS92" s="108">
        <f>AM92+AN92</f>
        <v>0</v>
      </c>
      <c r="AT92" s="108">
        <f>G92/(100-AU92)*100</f>
        <v>0</v>
      </c>
      <c r="AU92" s="108">
        <v>0</v>
      </c>
      <c r="AV92" s="108">
        <f>L92</f>
        <v>0</v>
      </c>
    </row>
    <row r="93" spans="1:48" ht="12.75">
      <c r="A93" s="69" t="s">
        <v>103</v>
      </c>
      <c r="B93" s="69"/>
      <c r="C93" s="69" t="s">
        <v>156</v>
      </c>
      <c r="D93" s="69" t="s">
        <v>231</v>
      </c>
      <c r="E93" s="69" t="s">
        <v>246</v>
      </c>
      <c r="F93" s="88">
        <v>1</v>
      </c>
      <c r="G93" s="88">
        <v>0</v>
      </c>
      <c r="H93" s="88">
        <f>F93*AE93</f>
        <v>0</v>
      </c>
      <c r="I93" s="88">
        <f>J93-H93</f>
        <v>0</v>
      </c>
      <c r="J93" s="88">
        <f>F93*G93</f>
        <v>0</v>
      </c>
      <c r="K93" s="88">
        <v>0</v>
      </c>
      <c r="L93" s="88">
        <f>F93*K93</f>
        <v>0</v>
      </c>
      <c r="M93" s="106"/>
      <c r="P93" s="108">
        <f>IF(AG93="5",J93,0)</f>
        <v>0</v>
      </c>
      <c r="R93" s="108">
        <f>IF(AG93="1",H93,0)</f>
        <v>0</v>
      </c>
      <c r="S93" s="108">
        <f>IF(AG93="1",I93,0)</f>
        <v>0</v>
      </c>
      <c r="T93" s="108">
        <f>IF(AG93="7",H93,0)</f>
        <v>0</v>
      </c>
      <c r="U93" s="108">
        <f>IF(AG93="7",I93,0)</f>
        <v>0</v>
      </c>
      <c r="V93" s="108">
        <f>IF(AG93="2",H93,0)</f>
        <v>0</v>
      </c>
      <c r="W93" s="108">
        <f>IF(AG93="2",I93,0)</f>
        <v>0</v>
      </c>
      <c r="X93" s="108">
        <f>IF(AG93="0",J93,0)</f>
        <v>0</v>
      </c>
      <c r="Y93" s="100"/>
      <c r="Z93" s="88">
        <f>IF(AD93=0,J93,0)</f>
        <v>0</v>
      </c>
      <c r="AA93" s="88">
        <f>IF(AD93=15,J93,0)</f>
        <v>0</v>
      </c>
      <c r="AB93" s="88">
        <f>IF(AD93=21,J93,0)</f>
        <v>0</v>
      </c>
      <c r="AD93" s="108">
        <v>21</v>
      </c>
      <c r="AE93" s="108">
        <f>G93*1</f>
        <v>0</v>
      </c>
      <c r="AF93" s="108">
        <f>G93*(1-1)</f>
        <v>0</v>
      </c>
      <c r="AG93" s="106" t="s">
        <v>267</v>
      </c>
      <c r="AM93" s="108">
        <f>F93*AE93</f>
        <v>0</v>
      </c>
      <c r="AN93" s="108">
        <f>F93*AF93</f>
        <v>0</v>
      </c>
      <c r="AO93" s="109" t="s">
        <v>278</v>
      </c>
      <c r="AP93" s="109" t="s">
        <v>283</v>
      </c>
      <c r="AQ93" s="100" t="s">
        <v>284</v>
      </c>
      <c r="AS93" s="108">
        <f>AM93+AN93</f>
        <v>0</v>
      </c>
      <c r="AT93" s="108">
        <f>G93/(100-AU93)*100</f>
        <v>0</v>
      </c>
      <c r="AU93" s="108">
        <v>0</v>
      </c>
      <c r="AV93" s="108">
        <f>L93</f>
        <v>0</v>
      </c>
    </row>
    <row r="94" spans="1:48" ht="12.75">
      <c r="A94" s="70" t="s">
        <v>60</v>
      </c>
      <c r="B94" s="70"/>
      <c r="C94" s="70" t="s">
        <v>157</v>
      </c>
      <c r="D94" s="70" t="s">
        <v>232</v>
      </c>
      <c r="E94" s="70" t="s">
        <v>246</v>
      </c>
      <c r="F94" s="89">
        <v>1</v>
      </c>
      <c r="G94" s="89">
        <v>0</v>
      </c>
      <c r="H94" s="89">
        <f>F94*AE94</f>
        <v>0</v>
      </c>
      <c r="I94" s="89">
        <f>J94-H94</f>
        <v>0</v>
      </c>
      <c r="J94" s="89">
        <f>F94*G94</f>
        <v>0</v>
      </c>
      <c r="K94" s="89">
        <v>0</v>
      </c>
      <c r="L94" s="89">
        <f>F94*K94</f>
        <v>0</v>
      </c>
      <c r="M94" s="107"/>
      <c r="P94" s="108">
        <f>IF(AG94="5",J94,0)</f>
        <v>0</v>
      </c>
      <c r="R94" s="108">
        <f>IF(AG94="1",H94,0)</f>
        <v>0</v>
      </c>
      <c r="S94" s="108">
        <f>IF(AG94="1",I94,0)</f>
        <v>0</v>
      </c>
      <c r="T94" s="108">
        <f>IF(AG94="7",H94,0)</f>
        <v>0</v>
      </c>
      <c r="U94" s="108">
        <f>IF(AG94="7",I94,0)</f>
        <v>0</v>
      </c>
      <c r="V94" s="108">
        <f>IF(AG94="2",H94,0)</f>
        <v>0</v>
      </c>
      <c r="W94" s="108">
        <f>IF(AG94="2",I94,0)</f>
        <v>0</v>
      </c>
      <c r="X94" s="108">
        <f>IF(AG94="0",J94,0)</f>
        <v>0</v>
      </c>
      <c r="Y94" s="100"/>
      <c r="Z94" s="88">
        <f>IF(AD94=0,J94,0)</f>
        <v>0</v>
      </c>
      <c r="AA94" s="88">
        <f>IF(AD94=15,J94,0)</f>
        <v>0</v>
      </c>
      <c r="AB94" s="88">
        <f>IF(AD94=21,J94,0)</f>
        <v>0</v>
      </c>
      <c r="AD94" s="108">
        <v>21</v>
      </c>
      <c r="AE94" s="108">
        <f>G94*1</f>
        <v>0</v>
      </c>
      <c r="AF94" s="108">
        <f>G94*(1-1)</f>
        <v>0</v>
      </c>
      <c r="AG94" s="106" t="s">
        <v>267</v>
      </c>
      <c r="AM94" s="108">
        <f>F94*AE94</f>
        <v>0</v>
      </c>
      <c r="AN94" s="108">
        <f>F94*AF94</f>
        <v>0</v>
      </c>
      <c r="AO94" s="109" t="s">
        <v>278</v>
      </c>
      <c r="AP94" s="109" t="s">
        <v>283</v>
      </c>
      <c r="AQ94" s="100" t="s">
        <v>284</v>
      </c>
      <c r="AS94" s="108">
        <f>AM94+AN94</f>
        <v>0</v>
      </c>
      <c r="AT94" s="108">
        <f>G94/(100-AU94)*100</f>
        <v>0</v>
      </c>
      <c r="AU94" s="108">
        <v>0</v>
      </c>
      <c r="AV94" s="108">
        <f>L94</f>
        <v>0</v>
      </c>
    </row>
    <row r="95" spans="1:13" ht="12.75">
      <c r="A95" s="12"/>
      <c r="B95" s="12"/>
      <c r="C95" s="12"/>
      <c r="D95" s="12"/>
      <c r="E95" s="12"/>
      <c r="F95" s="12"/>
      <c r="G95" s="12"/>
      <c r="H95" s="94" t="s">
        <v>252</v>
      </c>
      <c r="I95" s="42"/>
      <c r="J95" s="112">
        <f>J13+J16+J19+J22+J30+J36+J75+J77+J79+J82+J85</f>
        <v>0</v>
      </c>
      <c r="K95" s="12"/>
      <c r="L95" s="12"/>
      <c r="M95" s="12"/>
    </row>
    <row r="96" ht="11.25" customHeight="1">
      <c r="A96" s="71" t="s">
        <v>18</v>
      </c>
    </row>
    <row r="97" spans="1:13" ht="0" customHeight="1" hidden="1">
      <c r="A97" s="19"/>
      <c r="B97" s="21"/>
      <c r="C97" s="21"/>
      <c r="D97" s="21"/>
      <c r="E97" s="21"/>
      <c r="F97" s="21"/>
      <c r="G97" s="21"/>
      <c r="H97" s="21"/>
      <c r="I97" s="21"/>
      <c r="J97" s="21"/>
      <c r="K97" s="21"/>
      <c r="L97" s="21"/>
      <c r="M97" s="21"/>
    </row>
  </sheetData>
  <mergeCells count="54">
    <mergeCell ref="A1:M1"/>
    <mergeCell ref="A2:C3"/>
    <mergeCell ref="D2:D3"/>
    <mergeCell ref="E2:F3"/>
    <mergeCell ref="G2:H3"/>
    <mergeCell ref="I2:I3"/>
    <mergeCell ref="J2:M3"/>
    <mergeCell ref="A4:C5"/>
    <mergeCell ref="D4:D5"/>
    <mergeCell ref="E4:F5"/>
    <mergeCell ref="G4:H5"/>
    <mergeCell ref="I4:I5"/>
    <mergeCell ref="J4:M5"/>
    <mergeCell ref="A6:C7"/>
    <mergeCell ref="D6:D7"/>
    <mergeCell ref="E6:F7"/>
    <mergeCell ref="G6:H7"/>
    <mergeCell ref="I6:I7"/>
    <mergeCell ref="J6:M7"/>
    <mergeCell ref="A8:C9"/>
    <mergeCell ref="D8:D9"/>
    <mergeCell ref="E8:F9"/>
    <mergeCell ref="G8:H9"/>
    <mergeCell ref="I8:I9"/>
    <mergeCell ref="J8:M9"/>
    <mergeCell ref="H10:J10"/>
    <mergeCell ref="K10:L10"/>
    <mergeCell ref="D12:G12"/>
    <mergeCell ref="D13:G13"/>
    <mergeCell ref="D16:G16"/>
    <mergeCell ref="D19:G19"/>
    <mergeCell ref="D21:M21"/>
    <mergeCell ref="D22:G22"/>
    <mergeCell ref="D24:M24"/>
    <mergeCell ref="D27:M27"/>
    <mergeCell ref="D29:M29"/>
    <mergeCell ref="D30:G30"/>
    <mergeCell ref="D32:M32"/>
    <mergeCell ref="D33:M33"/>
    <mergeCell ref="D35:M35"/>
    <mergeCell ref="D36:G36"/>
    <mergeCell ref="D39:M39"/>
    <mergeCell ref="D44:M44"/>
    <mergeCell ref="D47:M47"/>
    <mergeCell ref="D50:M50"/>
    <mergeCell ref="D57:M57"/>
    <mergeCell ref="D75:G75"/>
    <mergeCell ref="D77:G77"/>
    <mergeCell ref="D79:G79"/>
    <mergeCell ref="D82:G82"/>
    <mergeCell ref="D85:G85"/>
    <mergeCell ref="D87:M87"/>
    <mergeCell ref="H95:I95"/>
    <mergeCell ref="A97:M97"/>
  </mergeCells>
  <printOptions/>
  <pageMargins left="0.394" right="0.394" top="0.591" bottom="0.591" header="0.5" footer="0.5"/>
  <pageSetup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