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Krycí list rozpočtu" sheetId="1" r:id="rId1"/>
    <sheet name="VORN" sheetId="2" state="hidden" r:id="rId2"/>
    <sheet name="Stavební rozpočet" sheetId="3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<sst xmlns="http://schemas.openxmlformats.org/spreadsheetml/2006/main" count="622" uniqueCount="246">
  <si>
    <t>Doba výstavby:</t>
  </si>
  <si>
    <t>Projektant</t>
  </si>
  <si>
    <t>_9_</t>
  </si>
  <si>
    <t>M22</t>
  </si>
  <si>
    <t>Základ 15%</t>
  </si>
  <si>
    <t>Doprava hmot, přesuny sutí</t>
  </si>
  <si>
    <t>Úhelník ochranný nebo trubka s držáky do zdiva včetně ochran.úhelníku + 2 držáky do zdi</t>
  </si>
  <si>
    <t>Základ 21%</t>
  </si>
  <si>
    <t>20</t>
  </si>
  <si>
    <t>Dodávka</t>
  </si>
  <si>
    <t>NUS celkem z obj.</t>
  </si>
  <si>
    <t>Název stavby:</t>
  </si>
  <si>
    <t>Ostatní materiál</t>
  </si>
  <si>
    <t>29</t>
  </si>
  <si>
    <t>Č</t>
  </si>
  <si>
    <t>Poznámka:</t>
  </si>
  <si>
    <t>Lokalita:</t>
  </si>
  <si>
    <t>16</t>
  </si>
  <si>
    <t>PSV</t>
  </si>
  <si>
    <t>35441460</t>
  </si>
  <si>
    <t>24</t>
  </si>
  <si>
    <t>Bez pevné podl.</t>
  </si>
  <si>
    <t>Celkem</t>
  </si>
  <si>
    <t>Zařízení staveniště</t>
  </si>
  <si>
    <t>4</t>
  </si>
  <si>
    <t>Základní rozpočtové náklady</t>
  </si>
  <si>
    <t>26</t>
  </si>
  <si>
    <t>11163350</t>
  </si>
  <si>
    <t>M24</t>
  </si>
  <si>
    <t>Celkem bez DPH</t>
  </si>
  <si>
    <t>Vedlejší a ostatní rozpočtové náklady</t>
  </si>
  <si>
    <t>210220361RT1</t>
  </si>
  <si>
    <t>M21</t>
  </si>
  <si>
    <t>Suspenze asfaltová Gumoasfalt SA18, bal. 9,5 kg</t>
  </si>
  <si>
    <t>6</t>
  </si>
  <si>
    <t>Rozpočtové náklady v Kč</t>
  </si>
  <si>
    <t>včetně dodávky svorky SJ 1 k jímací tyči</t>
  </si>
  <si>
    <t>včetně drátu FeZn 10 mm</t>
  </si>
  <si>
    <t>210220401RT1</t>
  </si>
  <si>
    <t>B</t>
  </si>
  <si>
    <t>Náklady na umístění stavby (NUS)</t>
  </si>
  <si>
    <t>210293011R00</t>
  </si>
  <si>
    <t>210220372RT1</t>
  </si>
  <si>
    <t>Montáž</t>
  </si>
  <si>
    <t>Datum, razítko a podpis</t>
  </si>
  <si>
    <t>svorka spojovací</t>
  </si>
  <si>
    <t>ZRN celkem</t>
  </si>
  <si>
    <t>351372VD</t>
  </si>
  <si>
    <t>Nezařazeno</t>
  </si>
  <si>
    <t>DPH 15%</t>
  </si>
  <si>
    <t>Krycí list slepého rozpočtu</t>
  </si>
  <si>
    <t>Základna</t>
  </si>
  <si>
    <t>25</t>
  </si>
  <si>
    <t>kus</t>
  </si>
  <si>
    <t>Dodávky</t>
  </si>
  <si>
    <t>soustava</t>
  </si>
  <si>
    <t>07.06.2023</t>
  </si>
  <si>
    <t>Ostatní mat.</t>
  </si>
  <si>
    <t>Ostatní náklady</t>
  </si>
  <si>
    <t>Cenová</t>
  </si>
  <si>
    <t>HSV prac</t>
  </si>
  <si>
    <t>Uzemnění</t>
  </si>
  <si>
    <t>13</t>
  </si>
  <si>
    <t>Ruční výkop jam, rýh a šachet v hornině tř. 4</t>
  </si>
  <si>
    <t>210220022RT1</t>
  </si>
  <si>
    <t>"M"</t>
  </si>
  <si>
    <t>35129VD</t>
  </si>
  <si>
    <t>VORN celkem z obj.</t>
  </si>
  <si>
    <t>Cena/MJ</t>
  </si>
  <si>
    <t>Konec výstavby:</t>
  </si>
  <si>
    <t>Kód</t>
  </si>
  <si>
    <t>Vnější ochrana před bleskem, uzemnění</t>
  </si>
  <si>
    <t>Izloační tyč ITV68, dodávka včetně montáže</t>
  </si>
  <si>
    <t>MJ</t>
  </si>
  <si>
    <t>Celkem ORN</t>
  </si>
  <si>
    <t>Doplňkové náklady</t>
  </si>
  <si>
    <t>RTS komentář:</t>
  </si>
  <si>
    <t>PSV prac</t>
  </si>
  <si>
    <t>HSV</t>
  </si>
  <si>
    <t>Vedlejší rozpočtové náklady VRN</t>
  </si>
  <si>
    <t>včetně dodávky drátu AlMgSi T/4 8 mm</t>
  </si>
  <si>
    <t>9</t>
  </si>
  <si>
    <t>Skladba: drcené kamenivo  25 cm kamenivo stabilizované cementem  10 cm cementobetonový kryt  15 cm  Bez zemních prací</t>
  </si>
  <si>
    <t>15</t>
  </si>
  <si>
    <t>ISWORK</t>
  </si>
  <si>
    <t>Celkem včetně DPH</t>
  </si>
  <si>
    <t>Celkem NUS</t>
  </si>
  <si>
    <t>Základ 0%</t>
  </si>
  <si>
    <t>Jímací tyč s rovným koncem délka 2000 mm  použití: jímací zařízení vyčnívající nad chráněným objekte</t>
  </si>
  <si>
    <t>Chomutov, Ústecký kraj</t>
  </si>
  <si>
    <t>210220301RT2</t>
  </si>
  <si>
    <t>35441040</t>
  </si>
  <si>
    <t>Mont prac</t>
  </si>
  <si>
    <t>Rozebrání dlažeb z betonových dlaždic na sucho</t>
  </si>
  <si>
    <t>581112001RA0</t>
  </si>
  <si>
    <t>Příplatek k odvozu za každý další 1 km</t>
  </si>
  <si>
    <t>23</t>
  </si>
  <si>
    <t>210293013R00</t>
  </si>
  <si>
    <t>Označení svodu štítky, smaltované, umělá hmota včetně dodávky štítku</t>
  </si>
  <si>
    <t>t</t>
  </si>
  <si>
    <t>D.1.4 - SILNOPROUDÁ ELEKTROTECHNIKA</t>
  </si>
  <si>
    <t> </t>
  </si>
  <si>
    <t>979095131R00</t>
  </si>
  <si>
    <t>JKSO:</t>
  </si>
  <si>
    <t>21101VD</t>
  </si>
  <si>
    <t>113109430R00</t>
  </si>
  <si>
    <t>Varianta:</t>
  </si>
  <si>
    <t>DN celkem</t>
  </si>
  <si>
    <t>GROUPCODE</t>
  </si>
  <si>
    <t>Provozní vlivy</t>
  </si>
  <si>
    <t>5</t>
  </si>
  <si>
    <t>24.07.2023</t>
  </si>
  <si>
    <t>Druh stavby:</t>
  </si>
  <si>
    <t>Vedení uzemňovací v zemi FeZn, D 8 - 10 mm</t>
  </si>
  <si>
    <t>Zřízení horolezeckého úvazu pro práci ve výškách</t>
  </si>
  <si>
    <t>Zpracováno dne:</t>
  </si>
  <si>
    <t>Podpěra vedení na ploché střech -beton PV 21d</t>
  </si>
  <si>
    <t>RTS II / 2020</t>
  </si>
  <si>
    <t>Svorka hromosvodová do 2 šroubů včetně dodávky svorky SZ</t>
  </si>
  <si>
    <t>10</t>
  </si>
  <si>
    <t>Revize hromosvodu</t>
  </si>
  <si>
    <t>14</t>
  </si>
  <si>
    <t>31</t>
  </si>
  <si>
    <t>210220302RT4</t>
  </si>
  <si>
    <t>Množství</t>
  </si>
  <si>
    <t>VORN celkem</t>
  </si>
  <si>
    <t>139601103R00</t>
  </si>
  <si>
    <t>2009</t>
  </si>
  <si>
    <t>Typ skupiny</t>
  </si>
  <si>
    <t>19</t>
  </si>
  <si>
    <t>C</t>
  </si>
  <si>
    <t>945931101R00</t>
  </si>
  <si>
    <t>M24_</t>
  </si>
  <si>
    <t>351835VD</t>
  </si>
  <si>
    <t>Náklady (Kč)</t>
  </si>
  <si>
    <t>Kryt komunikace z betonu tl. 15 cm</t>
  </si>
  <si>
    <t>30</t>
  </si>
  <si>
    <t>Zemnič tyčový, zaražení a připojení, do 2 m</t>
  </si>
  <si>
    <t>Svorka hromosvodová nad 2 šrouby /ST, SJ, SR, atd/</t>
  </si>
  <si>
    <t>IČO/DIČ:</t>
  </si>
  <si>
    <t>Ostatní</t>
  </si>
  <si>
    <t>979081121R00</t>
  </si>
  <si>
    <t>Zpracoval:</t>
  </si>
  <si>
    <t>Nátěr svodového vodiče včetně podpěr a svorek</t>
  </si>
  <si>
    <t>Svorka hromosvodová do 2 šroubů včetně dodávky svorky SS</t>
  </si>
  <si>
    <t>Zhotovitel</t>
  </si>
  <si>
    <t>RTS I / 2023</t>
  </si>
  <si>
    <t>2</t>
  </si>
  <si>
    <t>Projektant:</t>
  </si>
  <si>
    <t>Podružný elektroinstalační materiál</t>
  </si>
  <si>
    <t>Zkrácený popis / Varianta</t>
  </si>
  <si>
    <t/>
  </si>
  <si>
    <t>17</t>
  </si>
  <si>
    <t>ks</t>
  </si>
  <si>
    <t>Položka není určena pro rozebrání dlažeb uložených do betonového lože a pro rozebrání dlažeb z mozaiky uložených do cementové malty. V položce nejsou zakalkulovány náklady na popř. nutné očištění vybouraných betonových dlaždic</t>
  </si>
  <si>
    <t>21</t>
  </si>
  <si>
    <t>včetně dodávky tyče ZT 2,0   2000 mm</t>
  </si>
  <si>
    <t>979081111R00</t>
  </si>
  <si>
    <t>Práce přesčas</t>
  </si>
  <si>
    <t>12</t>
  </si>
  <si>
    <t>Montáž jímací tyče do 3 m, na stojan</t>
  </si>
  <si>
    <t>Kulturní památka</t>
  </si>
  <si>
    <t>Odvoz suti a vybour. hmot na skládku do 1 km</t>
  </si>
  <si>
    <t>DPH 21%</t>
  </si>
  <si>
    <t>Zabezpečení staveniště</t>
  </si>
  <si>
    <t>VNĚJŠÍ OCHRANA PŘED BLESKEM, Magistrát města Chomutov, Zborovská 4602, 430 01 Chomutov</t>
  </si>
  <si>
    <t>_</t>
  </si>
  <si>
    <t>kpl</t>
  </si>
  <si>
    <t>Přesuny</t>
  </si>
  <si>
    <t>MAT</t>
  </si>
  <si>
    <t>8</t>
  </si>
  <si>
    <t>Celkem:</t>
  </si>
  <si>
    <t>Mimostav. doprava</t>
  </si>
  <si>
    <t>18</t>
  </si>
  <si>
    <t>DN celkem z obj.</t>
  </si>
  <si>
    <t>Vodiče svodové FeZn D do 10,Al 10,Cu 8 +podpěry</t>
  </si>
  <si>
    <t>Chodník z dlažby zámkové tl. 6 cm - oprava</t>
  </si>
  <si>
    <t>210220301RT3</t>
  </si>
  <si>
    <t>včetně dodávky svorky SJ 2 k zemnicí tyči</t>
  </si>
  <si>
    <t>m</t>
  </si>
  <si>
    <t>35441544</t>
  </si>
  <si>
    <t>11</t>
  </si>
  <si>
    <t>Tyč jímací JR 2,0 2000 mm bez osazení</t>
  </si>
  <si>
    <t>32</t>
  </si>
  <si>
    <t>km</t>
  </si>
  <si>
    <t>Objednatel:</t>
  </si>
  <si>
    <t>Libor Slavík</t>
  </si>
  <si>
    <t>351826VD</t>
  </si>
  <si>
    <t>PSV mat</t>
  </si>
  <si>
    <t>3</t>
  </si>
  <si>
    <t>GUMOASFALT SA 18 - asfaltová izolační suspenze na střešní nátěr, svislé izolace  balení kbelík 9,5 kg  Jednosložková tixotropní asfaltolatexová vodní disperzní hmota vhodná zejména pro hydroizolační nátěry betonu a zdiva, sklonitých a svislých ploch. Zasychá na velmi elastickou izolační vrstvu schopnou překlenutí trhlin. Má dobrou přilnavost k betonu i k asfaltovým pásům. Vzhledem k nepřítomnosti organických rozpouštědel je vhodná i do vnitřních prostor. Na hydroizolaci střech je třeba vytvořit minimálně 1,5 mm zaschlé vrstvy, tj. 4 nátěry. Spotřeba 0,4 kg/m2. Aplikace: štětcem, válečkem, asf. kartáčem</t>
  </si>
  <si>
    <t>Zhotovitel:</t>
  </si>
  <si>
    <t>%</t>
  </si>
  <si>
    <t>Poplatek za skládku stavební suti</t>
  </si>
  <si>
    <t>113106121R00</t>
  </si>
  <si>
    <t>Začátek výstavby:</t>
  </si>
  <si>
    <t>A</t>
  </si>
  <si>
    <t>Nátěr ochranného úhelníku nebo trubky+držáky</t>
  </si>
  <si>
    <t>Mont mat</t>
  </si>
  <si>
    <t>Podpěra vedení do zdiva na hmoždinku PV 1h</t>
  </si>
  <si>
    <t>Slepý stavební rozpočet</t>
  </si>
  <si>
    <t xml:space="preserve"> </t>
  </si>
  <si>
    <t>M23_</t>
  </si>
  <si>
    <t>Objednatel</t>
  </si>
  <si>
    <t>591100031RA0</t>
  </si>
  <si>
    <t>(Kč)</t>
  </si>
  <si>
    <t>22</t>
  </si>
  <si>
    <t>Podstavec betonový PB 19, 19kg</t>
  </si>
  <si>
    <t>Tyč jímací JR 2,5 2500 mm bez osazení</t>
  </si>
  <si>
    <t>Územní vlivy</t>
  </si>
  <si>
    <t>m3</t>
  </si>
  <si>
    <t>Datum:</t>
  </si>
  <si>
    <t>27</t>
  </si>
  <si>
    <t>svod</t>
  </si>
  <si>
    <t>m2</t>
  </si>
  <si>
    <t>Přesun hmot a sutí</t>
  </si>
  <si>
    <t>NUS z rozpočtu</t>
  </si>
  <si>
    <t>1</t>
  </si>
  <si>
    <t>7</t>
  </si>
  <si>
    <t>Rozměry</t>
  </si>
  <si>
    <t>351834VD</t>
  </si>
  <si>
    <t>Položek:</t>
  </si>
  <si>
    <t>NUS celkem</t>
  </si>
  <si>
    <t>WORK</t>
  </si>
  <si>
    <t>979990001R00</t>
  </si>
  <si>
    <t>Ostatní rozpočtové náklady ORN</t>
  </si>
  <si>
    <t>HSV mat</t>
  </si>
  <si>
    <t>Kč</t>
  </si>
  <si>
    <t>210220302RT5</t>
  </si>
  <si>
    <t>M21_</t>
  </si>
  <si>
    <t>Odstranění podkladu pl.nad 50 m2, beton, tl. 30 cm</t>
  </si>
  <si>
    <t>Celkem VRN</t>
  </si>
  <si>
    <t>Doprava hmot, jízda přívěsného vozíku</t>
  </si>
  <si>
    <t>zkušební</t>
  </si>
  <si>
    <t>M23</t>
  </si>
  <si>
    <t>Skladba: podklad ze štěrkopísku  10 cm lože z kameniva  4 cm dlažba zámková, betonová  6 cm (70% původní dlažby, 30% nové dlažby)  Bez zemních prací</t>
  </si>
  <si>
    <t>Ostatní rozpočtové náklady (ORN)</t>
  </si>
  <si>
    <t>Položka je určena pro zřízení horolezeckého úvazu při opravách vnějších plášťů budov horolezeckým způsobem</t>
  </si>
  <si>
    <t>Celkem DN</t>
  </si>
  <si>
    <t>28</t>
  </si>
  <si>
    <t>CELK</t>
  </si>
  <si>
    <t>M22_</t>
  </si>
  <si>
    <t>Doplňkové náklady DN</t>
  </si>
  <si>
    <t>210220101RU2</t>
  </si>
  <si>
    <t>650111913R00</t>
  </si>
  <si>
    <t>Položka je určena i pro odstranění dlažeb uložených do betonového lože a dlažeb z mozaiky uložených do cementové malty nebo podkladu ze zemin stabilizovaných cementem. Pro volbu položky z hlediska množství se uvažuje každá souvisle odstraňovaná plocha krytu nebo podkladu stejného druhu samostatně.Odstraňuje-li se několik vrstev vozovky najednou, jednotlivé vrstvy se oceňují každá samostatně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</si>
</sst>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i/>
      <sz val="8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i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/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/>
      <top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1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4" fontId="47" fillId="33" borderId="11" xfId="0" applyNumberFormat="1" applyFont="1" applyFill="1" applyBorder="1" applyAlignment="1" applyProtection="1">
      <alignment horizontal="right" vertical="center"/>
      <protection/>
    </xf>
    <xf numFmtId="0" fontId="48" fillId="0" borderId="12" xfId="0" applyNumberFormat="1" applyFont="1" applyFill="1" applyBorder="1" applyAlignment="1" applyProtection="1">
      <alignment horizontal="righ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center" vertical="center"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5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4" fontId="50" fillId="0" borderId="11" xfId="0" applyNumberFormat="1" applyFont="1" applyFill="1" applyBorder="1" applyAlignment="1" applyProtection="1">
      <alignment horizontal="right" vertical="center"/>
      <protection/>
    </xf>
    <xf numFmtId="0" fontId="48" fillId="33" borderId="10" xfId="0" applyNumberFormat="1" applyFont="1" applyFill="1" applyBorder="1" applyAlignment="1" applyProtection="1">
      <alignment horizontal="right" vertical="center"/>
      <protection/>
    </xf>
    <xf numFmtId="4" fontId="46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4" fontId="47" fillId="33" borderId="19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4" fontId="48" fillId="0" borderId="12" xfId="0" applyNumberFormat="1" applyFont="1" applyFill="1" applyBorder="1" applyAlignment="1" applyProtection="1">
      <alignment horizontal="righ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0" fontId="46" fillId="33" borderId="17" xfId="0" applyNumberFormat="1" applyFont="1" applyFill="1" applyBorder="1" applyAlignment="1" applyProtection="1">
      <alignment horizontal="left" vertical="center"/>
      <protection/>
    </xf>
    <xf numFmtId="4" fontId="50" fillId="0" borderId="19" xfId="0" applyNumberFormat="1" applyFont="1" applyFill="1" applyBorder="1" applyAlignment="1" applyProtection="1">
      <alignment horizontal="right" vertical="center"/>
      <protection/>
    </xf>
    <xf numFmtId="0" fontId="46" fillId="0" borderId="19" xfId="0" applyNumberFormat="1" applyFont="1" applyFill="1" applyBorder="1" applyAlignment="1" applyProtection="1">
      <alignment horizontal="righ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4" fontId="50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24" xfId="0" applyNumberFormat="1" applyFont="1" applyFill="1" applyBorder="1" applyAlignment="1" applyProtection="1">
      <alignment horizontal="center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25" xfId="0" applyNumberFormat="1" applyFont="1" applyFill="1" applyBorder="1" applyAlignment="1" applyProtection="1">
      <alignment horizontal="center" vertical="center"/>
      <protection/>
    </xf>
    <xf numFmtId="4" fontId="46" fillId="0" borderId="19" xfId="0" applyNumberFormat="1" applyFont="1" applyFill="1" applyBorder="1" applyAlignment="1" applyProtection="1">
      <alignment horizontal="right" vertical="center"/>
      <protection/>
    </xf>
    <xf numFmtId="0" fontId="50" fillId="0" borderId="10" xfId="0" applyNumberFormat="1" applyFont="1" applyFill="1" applyBorder="1" applyAlignment="1" applyProtection="1">
      <alignment horizontal="right" vertical="center"/>
      <protection/>
    </xf>
    <xf numFmtId="4" fontId="50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26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52" fillId="33" borderId="28" xfId="0" applyNumberFormat="1" applyFont="1" applyFill="1" applyBorder="1" applyAlignment="1" applyProtection="1">
      <alignment horizontal="center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21" xfId="0" applyNumberFormat="1" applyFont="1" applyFill="1" applyBorder="1" applyAlignment="1" applyProtection="1">
      <alignment horizontal="left" vertical="center"/>
      <protection/>
    </xf>
    <xf numFmtId="0" fontId="48" fillId="33" borderId="1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right" vertical="center"/>
      <protection/>
    </xf>
    <xf numFmtId="4" fontId="46" fillId="0" borderId="10" xfId="0" applyNumberFormat="1" applyFont="1" applyFill="1" applyBorder="1" applyAlignment="1" applyProtection="1">
      <alignment horizontal="right" vertical="center"/>
      <protection/>
    </xf>
    <xf numFmtId="0" fontId="46" fillId="33" borderId="17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50" fillId="0" borderId="19" xfId="0" applyNumberFormat="1" applyFont="1" applyFill="1" applyBorder="1" applyAlignment="1" applyProtection="1">
      <alignment horizontal="right" vertical="center"/>
      <protection/>
    </xf>
    <xf numFmtId="0" fontId="52" fillId="33" borderId="11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29" xfId="0" applyNumberFormat="1" applyFont="1" applyFill="1" applyBorder="1" applyAlignment="1" applyProtection="1">
      <alignment horizontal="left" vertical="center" wrapText="1"/>
      <protection/>
    </xf>
    <xf numFmtId="0" fontId="46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 wrapText="1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3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30" xfId="0" applyNumberFormat="1" applyFont="1" applyFill="1" applyBorder="1" applyAlignment="1" applyProtection="1">
      <alignment horizontal="left" vertical="center" wrapText="1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1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1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2" xfId="0" applyNumberFormat="1" applyFont="1" applyFill="1" applyBorder="1" applyAlignment="1" applyProtection="1">
      <alignment horizontal="left" vertical="center"/>
      <protection/>
    </xf>
    <xf numFmtId="0" fontId="55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33" borderId="33" xfId="0" applyNumberFormat="1" applyFont="1" applyFill="1" applyBorder="1" applyAlignment="1" applyProtection="1">
      <alignment horizontal="left" vertical="center"/>
      <protection/>
    </xf>
    <xf numFmtId="0" fontId="47" fillId="33" borderId="32" xfId="0" applyNumberFormat="1" applyFont="1" applyFill="1" applyBorder="1" applyAlignment="1" applyProtection="1">
      <alignment horizontal="left" vertical="center"/>
      <protection/>
    </xf>
    <xf numFmtId="0" fontId="47" fillId="33" borderId="27" xfId="0" applyNumberFormat="1" applyFont="1" applyFill="1" applyBorder="1" applyAlignment="1" applyProtection="1">
      <alignment horizontal="left" vertical="center"/>
      <protection/>
    </xf>
    <xf numFmtId="0" fontId="47" fillId="33" borderId="16" xfId="0" applyNumberFormat="1" applyFont="1" applyFill="1" applyBorder="1" applyAlignment="1" applyProtection="1">
      <alignment horizontal="left" vertical="center"/>
      <protection/>
    </xf>
    <xf numFmtId="0" fontId="50" fillId="0" borderId="34" xfId="0" applyNumberFormat="1" applyFont="1" applyFill="1" applyBorder="1" applyAlignment="1" applyProtection="1">
      <alignment horizontal="left" vertical="center"/>
      <protection/>
    </xf>
    <xf numFmtId="0" fontId="50" fillId="0" borderId="14" xfId="0" applyNumberFormat="1" applyFont="1" applyFill="1" applyBorder="1" applyAlignment="1" applyProtection="1">
      <alignment horizontal="left" vertical="center"/>
      <protection/>
    </xf>
    <xf numFmtId="0" fontId="50" fillId="0" borderId="35" xfId="0" applyNumberFormat="1" applyFont="1" applyFill="1" applyBorder="1" applyAlignment="1" applyProtection="1">
      <alignment horizontal="left" vertical="center"/>
      <protection/>
    </xf>
    <xf numFmtId="0" fontId="50" fillId="0" borderId="36" xfId="0" applyNumberFormat="1" applyFont="1" applyFill="1" applyBorder="1" applyAlignment="1" applyProtection="1">
      <alignment horizontal="left" vertical="center"/>
      <protection/>
    </xf>
    <xf numFmtId="0" fontId="50" fillId="0" borderId="37" xfId="0" applyNumberFormat="1" applyFont="1" applyFill="1" applyBorder="1" applyAlignment="1" applyProtection="1">
      <alignment horizontal="left" vertical="center"/>
      <protection/>
    </xf>
    <xf numFmtId="0" fontId="50" fillId="0" borderId="38" xfId="0" applyNumberFormat="1" applyFont="1" applyFill="1" applyBorder="1" applyAlignment="1" applyProtection="1">
      <alignment horizontal="left" vertical="center"/>
      <protection/>
    </xf>
    <xf numFmtId="0" fontId="50" fillId="0" borderId="25" xfId="0" applyNumberFormat="1" applyFont="1" applyFill="1" applyBorder="1" applyAlignment="1" applyProtection="1">
      <alignment horizontal="left" vertical="center"/>
      <protection/>
    </xf>
    <xf numFmtId="0" fontId="50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4" fontId="47" fillId="0" borderId="42" xfId="0" applyNumberFormat="1" applyFont="1" applyFill="1" applyBorder="1" applyAlignment="1" applyProtection="1">
      <alignment horizontal="right" vertical="center"/>
      <protection/>
    </xf>
    <xf numFmtId="0" fontId="47" fillId="0" borderId="42" xfId="0" applyNumberFormat="1" applyFont="1" applyFill="1" applyBorder="1" applyAlignment="1" applyProtection="1">
      <alignment horizontal="right" vertical="center"/>
      <protection/>
    </xf>
    <xf numFmtId="0" fontId="47" fillId="0" borderId="12" xfId="0" applyNumberFormat="1" applyFont="1" applyFill="1" applyBorder="1" applyAlignment="1" applyProtection="1">
      <alignment horizontal="righ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21" xfId="0" applyNumberFormat="1" applyFont="1" applyFill="1" applyBorder="1" applyAlignment="1" applyProtection="1">
      <alignment horizontal="left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center" vertical="center"/>
      <protection/>
    </xf>
    <xf numFmtId="0" fontId="48" fillId="0" borderId="40" xfId="0" applyNumberFormat="1" applyFont="1" applyFill="1" applyBorder="1" applyAlignment="1" applyProtection="1">
      <alignment horizontal="center" vertical="center"/>
      <protection/>
    </xf>
    <xf numFmtId="0" fontId="48" fillId="0" borderId="26" xfId="0" applyNumberFormat="1" applyFont="1" applyFill="1" applyBorder="1" applyAlignment="1" applyProtection="1">
      <alignment horizontal="center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C16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57" t="s">
        <v>50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11</v>
      </c>
      <c r="B2" s="60"/>
      <c r="C2" s="68" t="str">
        <f>'Stavební rozpočet'!C2</f>
        <v>VNĚJŠÍ OCHRANA PŘED BLESKEM, Magistrát města Chomutov, Zborovská 4602, 430 01 Chomutov</v>
      </c>
      <c r="D2" s="69"/>
      <c r="E2" s="66" t="s">
        <v>185</v>
      </c>
      <c r="F2" s="66" t="str">
        <f>'Stavební rozpočet'!J2</f>
        <v> </v>
      </c>
      <c r="G2" s="60"/>
      <c r="H2" s="66" t="s">
        <v>139</v>
      </c>
      <c r="I2" s="71" t="s">
        <v>151</v>
      </c>
    </row>
    <row r="3" spans="1:9" ht="25.5" customHeight="1">
      <c r="A3" s="61"/>
      <c r="B3" s="62"/>
      <c r="C3" s="70"/>
      <c r="D3" s="70"/>
      <c r="E3" s="62"/>
      <c r="F3" s="62"/>
      <c r="G3" s="62"/>
      <c r="H3" s="62"/>
      <c r="I3" s="72"/>
    </row>
    <row r="4" spans="1:9" ht="15" customHeight="1">
      <c r="A4" s="63" t="s">
        <v>112</v>
      </c>
      <c r="B4" s="62"/>
      <c r="C4" s="67" t="str">
        <f>'Stavební rozpočet'!C4</f>
        <v>D.1.4 - SILNOPROUDÁ ELEKTROTECHNIKA</v>
      </c>
      <c r="D4" s="62"/>
      <c r="E4" s="67" t="s">
        <v>148</v>
      </c>
      <c r="F4" s="67" t="str">
        <f>'Stavební rozpočet'!J4</f>
        <v> </v>
      </c>
      <c r="G4" s="62"/>
      <c r="H4" s="67" t="s">
        <v>139</v>
      </c>
      <c r="I4" s="72" t="s">
        <v>151</v>
      </c>
    </row>
    <row r="5" spans="1:9" ht="15" customHeight="1">
      <c r="A5" s="61"/>
      <c r="B5" s="62"/>
      <c r="C5" s="62"/>
      <c r="D5" s="62"/>
      <c r="E5" s="62"/>
      <c r="F5" s="62"/>
      <c r="G5" s="62"/>
      <c r="H5" s="62"/>
      <c r="I5" s="72"/>
    </row>
    <row r="6" spans="1:9" ht="15" customHeight="1">
      <c r="A6" s="63" t="s">
        <v>16</v>
      </c>
      <c r="B6" s="62"/>
      <c r="C6" s="67" t="str">
        <f>'Stavební rozpočet'!C6</f>
        <v>Chomutov, Ústecký kraj</v>
      </c>
      <c r="D6" s="62"/>
      <c r="E6" s="67" t="s">
        <v>191</v>
      </c>
      <c r="F6" s="67" t="str">
        <f>'Stavební rozpočet'!J6</f>
        <v> </v>
      </c>
      <c r="G6" s="62"/>
      <c r="H6" s="67" t="s">
        <v>139</v>
      </c>
      <c r="I6" s="72" t="s">
        <v>151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72"/>
    </row>
    <row r="8" spans="1:9" ht="15" customHeight="1">
      <c r="A8" s="63" t="s">
        <v>195</v>
      </c>
      <c r="B8" s="62"/>
      <c r="C8" s="67" t="str">
        <f>'Stavební rozpočet'!G4</f>
        <v>07.06.2023</v>
      </c>
      <c r="D8" s="62"/>
      <c r="E8" s="67" t="s">
        <v>69</v>
      </c>
      <c r="F8" s="67" t="str">
        <f>'Stavební rozpočet'!G6</f>
        <v> </v>
      </c>
      <c r="G8" s="62"/>
      <c r="H8" s="62" t="s">
        <v>221</v>
      </c>
      <c r="I8" s="73">
        <v>32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72"/>
    </row>
    <row r="10" spans="1:9" ht="15" customHeight="1">
      <c r="A10" s="63" t="s">
        <v>103</v>
      </c>
      <c r="B10" s="62"/>
      <c r="C10" s="67" t="str">
        <f>'Stavební rozpočet'!C8</f>
        <v> </v>
      </c>
      <c r="D10" s="62"/>
      <c r="E10" s="67" t="s">
        <v>142</v>
      </c>
      <c r="F10" s="67" t="str">
        <f>'Stavební rozpočet'!J8</f>
        <v>Libor Slavík</v>
      </c>
      <c r="G10" s="62"/>
      <c r="H10" s="62" t="s">
        <v>211</v>
      </c>
      <c r="I10" s="74" t="str">
        <f>'Stavební rozpočet'!G8</f>
        <v>24.07.2023</v>
      </c>
    </row>
    <row r="11" spans="1:9" ht="15" customHeight="1">
      <c r="A11" s="64"/>
      <c r="B11" s="65"/>
      <c r="C11" s="65"/>
      <c r="D11" s="65"/>
      <c r="E11" s="65"/>
      <c r="F11" s="65"/>
      <c r="G11" s="65"/>
      <c r="H11" s="65"/>
      <c r="I11" s="75"/>
    </row>
    <row r="12" spans="1:9" ht="22.5" customHeight="1">
      <c r="A12" s="76" t="s">
        <v>35</v>
      </c>
      <c r="B12" s="76"/>
      <c r="C12" s="76"/>
      <c r="D12" s="76"/>
      <c r="E12" s="76"/>
      <c r="F12" s="76"/>
      <c r="G12" s="76"/>
      <c r="H12" s="76"/>
      <c r="I12" s="76"/>
    </row>
    <row r="13" spans="1:9" ht="26.25" customHeight="1">
      <c r="A13" s="45" t="s">
        <v>196</v>
      </c>
      <c r="B13" s="77" t="s">
        <v>25</v>
      </c>
      <c r="C13" s="78"/>
      <c r="D13" s="56" t="s">
        <v>39</v>
      </c>
      <c r="E13" s="77" t="s">
        <v>75</v>
      </c>
      <c r="F13" s="78"/>
      <c r="G13" s="56" t="s">
        <v>130</v>
      </c>
      <c r="H13" s="77" t="s">
        <v>40</v>
      </c>
      <c r="I13" s="78"/>
    </row>
    <row r="14" spans="1:9" ht="15" customHeight="1">
      <c r="A14" s="20" t="s">
        <v>78</v>
      </c>
      <c r="B14" s="32" t="s">
        <v>54</v>
      </c>
      <c r="C14" s="26">
        <f>SUM('Stavební rozpočet'!AB12:AB63)</f>
        <v>0</v>
      </c>
      <c r="D14" s="85" t="s">
        <v>158</v>
      </c>
      <c r="E14" s="86"/>
      <c r="F14" s="26">
        <f>VORN!I15</f>
        <v>0</v>
      </c>
      <c r="G14" s="85" t="s">
        <v>23</v>
      </c>
      <c r="H14" s="86"/>
      <c r="I14" s="55">
        <f>VORN!I21</f>
        <v>0</v>
      </c>
    </row>
    <row r="15" spans="1:9" ht="15" customHeight="1">
      <c r="A15" s="17" t="s">
        <v>151</v>
      </c>
      <c r="B15" s="32" t="s">
        <v>43</v>
      </c>
      <c r="C15" s="26">
        <f>SUM('Stavební rozpočet'!AC12:AC63)</f>
        <v>0</v>
      </c>
      <c r="D15" s="85" t="s">
        <v>21</v>
      </c>
      <c r="E15" s="86"/>
      <c r="F15" s="26">
        <f>VORN!I16</f>
        <v>0</v>
      </c>
      <c r="G15" s="85" t="s">
        <v>172</v>
      </c>
      <c r="H15" s="86"/>
      <c r="I15" s="55">
        <f>VORN!I22</f>
        <v>0</v>
      </c>
    </row>
    <row r="16" spans="1:9" ht="15" customHeight="1">
      <c r="A16" s="20" t="s">
        <v>18</v>
      </c>
      <c r="B16" s="32" t="s">
        <v>54</v>
      </c>
      <c r="C16" s="26">
        <f>SUM('Stavební rozpočet'!AD12:AD63)</f>
        <v>0</v>
      </c>
      <c r="D16" s="85" t="s">
        <v>161</v>
      </c>
      <c r="E16" s="86"/>
      <c r="F16" s="26">
        <f>VORN!I17</f>
        <v>0</v>
      </c>
      <c r="G16" s="85" t="s">
        <v>209</v>
      </c>
      <c r="H16" s="86"/>
      <c r="I16" s="55">
        <f>VORN!I23</f>
        <v>0</v>
      </c>
    </row>
    <row r="17" spans="1:9" ht="15" customHeight="1">
      <c r="A17" s="17" t="s">
        <v>151</v>
      </c>
      <c r="B17" s="32" t="s">
        <v>43</v>
      </c>
      <c r="C17" s="26">
        <f>SUM('Stavební rozpočet'!AE12:AE63)</f>
        <v>0</v>
      </c>
      <c r="D17" s="85" t="s">
        <v>151</v>
      </c>
      <c r="E17" s="86"/>
      <c r="F17" s="55" t="s">
        <v>151</v>
      </c>
      <c r="G17" s="85" t="s">
        <v>109</v>
      </c>
      <c r="H17" s="86"/>
      <c r="I17" s="55">
        <f>VORN!I24</f>
        <v>0</v>
      </c>
    </row>
    <row r="18" spans="1:9" ht="15" customHeight="1">
      <c r="A18" s="20" t="s">
        <v>65</v>
      </c>
      <c r="B18" s="32" t="s">
        <v>54</v>
      </c>
      <c r="C18" s="26">
        <f>SUM('Stavební rozpočet'!AF12:AF63)</f>
        <v>0</v>
      </c>
      <c r="D18" s="85" t="s">
        <v>151</v>
      </c>
      <c r="E18" s="86"/>
      <c r="F18" s="55" t="s">
        <v>151</v>
      </c>
      <c r="G18" s="85" t="s">
        <v>140</v>
      </c>
      <c r="H18" s="86"/>
      <c r="I18" s="55">
        <f>VORN!I25</f>
        <v>0</v>
      </c>
    </row>
    <row r="19" spans="1:9" ht="15" customHeight="1">
      <c r="A19" s="17" t="s">
        <v>151</v>
      </c>
      <c r="B19" s="32" t="s">
        <v>43</v>
      </c>
      <c r="C19" s="26">
        <f>SUM('Stavební rozpočet'!AG12:AG63)</f>
        <v>0</v>
      </c>
      <c r="D19" s="85" t="s">
        <v>151</v>
      </c>
      <c r="E19" s="86"/>
      <c r="F19" s="55" t="s">
        <v>151</v>
      </c>
      <c r="G19" s="85" t="s">
        <v>216</v>
      </c>
      <c r="H19" s="86"/>
      <c r="I19" s="55">
        <f>VORN!I26</f>
        <v>0</v>
      </c>
    </row>
    <row r="20" spans="1:9" ht="15" customHeight="1">
      <c r="A20" s="79" t="s">
        <v>12</v>
      </c>
      <c r="B20" s="80"/>
      <c r="C20" s="26">
        <f>SUM('Stavební rozpočet'!AH12:AH63)</f>
        <v>0</v>
      </c>
      <c r="D20" s="85" t="s">
        <v>151</v>
      </c>
      <c r="E20" s="86"/>
      <c r="F20" s="55" t="s">
        <v>151</v>
      </c>
      <c r="G20" s="85" t="s">
        <v>151</v>
      </c>
      <c r="H20" s="86"/>
      <c r="I20" s="55" t="s">
        <v>151</v>
      </c>
    </row>
    <row r="21" spans="1:9" ht="15" customHeight="1">
      <c r="A21" s="81" t="s">
        <v>215</v>
      </c>
      <c r="B21" s="82"/>
      <c r="C21" s="34">
        <f>SUM('Stavební rozpočet'!Z12:Z63)</f>
        <v>0</v>
      </c>
      <c r="D21" s="87" t="s">
        <v>151</v>
      </c>
      <c r="E21" s="88"/>
      <c r="F21" s="39" t="s">
        <v>151</v>
      </c>
      <c r="G21" s="87" t="s">
        <v>151</v>
      </c>
      <c r="H21" s="88"/>
      <c r="I21" s="39" t="s">
        <v>151</v>
      </c>
    </row>
    <row r="22" spans="1:9" ht="16.5" customHeight="1">
      <c r="A22" s="83" t="s">
        <v>46</v>
      </c>
      <c r="B22" s="84"/>
      <c r="C22" s="12">
        <f>SUM(C14:C21)</f>
        <v>0</v>
      </c>
      <c r="D22" s="89" t="s">
        <v>107</v>
      </c>
      <c r="E22" s="84"/>
      <c r="F22" s="12">
        <f>SUM(F14:F21)</f>
        <v>0</v>
      </c>
      <c r="G22" s="89" t="s">
        <v>222</v>
      </c>
      <c r="H22" s="84"/>
      <c r="I22" s="12">
        <f>SUM(I14:I21)</f>
        <v>0</v>
      </c>
    </row>
    <row r="23" spans="4:9" ht="15" customHeight="1">
      <c r="D23" s="79" t="s">
        <v>174</v>
      </c>
      <c r="E23" s="80"/>
      <c r="F23" s="40">
        <v>0</v>
      </c>
      <c r="G23" s="90" t="s">
        <v>10</v>
      </c>
      <c r="H23" s="80"/>
      <c r="I23" s="26">
        <v>0</v>
      </c>
    </row>
    <row r="24" spans="7:9" ht="15" customHeight="1">
      <c r="G24" s="79" t="s">
        <v>125</v>
      </c>
      <c r="H24" s="80"/>
      <c r="I24" s="34">
        <f>vorn_sum</f>
        <v>0</v>
      </c>
    </row>
    <row r="25" spans="7:9" ht="15" customHeight="1">
      <c r="G25" s="79" t="s">
        <v>67</v>
      </c>
      <c r="H25" s="80"/>
      <c r="I25" s="12">
        <v>0</v>
      </c>
    </row>
    <row r="27" spans="1:3" ht="15" customHeight="1">
      <c r="A27" s="91" t="s">
        <v>87</v>
      </c>
      <c r="B27" s="92"/>
      <c r="C27" s="4">
        <f>SUM('Stavební rozpočet'!AJ12:AJ63)</f>
        <v>0</v>
      </c>
    </row>
    <row r="28" spans="1:9" ht="15" customHeight="1">
      <c r="A28" s="93" t="s">
        <v>4</v>
      </c>
      <c r="B28" s="94"/>
      <c r="C28" s="18">
        <f>SUM('Stavební rozpočet'!AK12:AK63)</f>
        <v>0</v>
      </c>
      <c r="D28" s="92" t="s">
        <v>49</v>
      </c>
      <c r="E28" s="92"/>
      <c r="F28" s="4">
        <f>ROUND(C28*(15/100),2)</f>
        <v>0</v>
      </c>
      <c r="G28" s="92" t="s">
        <v>29</v>
      </c>
      <c r="H28" s="92"/>
      <c r="I28" s="4">
        <f>SUM(C27:C29)</f>
        <v>0</v>
      </c>
    </row>
    <row r="29" spans="1:9" ht="15" customHeight="1">
      <c r="A29" s="93" t="s">
        <v>7</v>
      </c>
      <c r="B29" s="94"/>
      <c r="C29" s="18">
        <f>SUM('Stavební rozpočet'!AL12:AL63)+(F22+I22+F23+I23+I24+I25)</f>
        <v>0</v>
      </c>
      <c r="D29" s="94" t="s">
        <v>163</v>
      </c>
      <c r="E29" s="94"/>
      <c r="F29" s="18">
        <f>ROUND(C29*(21/100),2)</f>
        <v>0</v>
      </c>
      <c r="G29" s="94" t="s">
        <v>85</v>
      </c>
      <c r="H29" s="94"/>
      <c r="I29" s="18">
        <f>SUM(F28:F29)+I28</f>
        <v>0</v>
      </c>
    </row>
    <row r="31" spans="1:9" ht="15" customHeight="1">
      <c r="A31" s="95" t="s">
        <v>1</v>
      </c>
      <c r="B31" s="96"/>
      <c r="C31" s="97"/>
      <c r="D31" s="96" t="s">
        <v>203</v>
      </c>
      <c r="E31" s="96"/>
      <c r="F31" s="97"/>
      <c r="G31" s="96" t="s">
        <v>145</v>
      </c>
      <c r="H31" s="96"/>
      <c r="I31" s="97"/>
    </row>
    <row r="32" spans="1:9" ht="15" customHeight="1">
      <c r="A32" s="98" t="s">
        <v>151</v>
      </c>
      <c r="B32" s="87"/>
      <c r="C32" s="99"/>
      <c r="D32" s="87" t="s">
        <v>151</v>
      </c>
      <c r="E32" s="87"/>
      <c r="F32" s="99"/>
      <c r="G32" s="87" t="s">
        <v>151</v>
      </c>
      <c r="H32" s="87"/>
      <c r="I32" s="99"/>
    </row>
    <row r="33" spans="1:9" ht="15" customHeight="1">
      <c r="A33" s="98" t="s">
        <v>151</v>
      </c>
      <c r="B33" s="87"/>
      <c r="C33" s="99"/>
      <c r="D33" s="87" t="s">
        <v>151</v>
      </c>
      <c r="E33" s="87"/>
      <c r="F33" s="99"/>
      <c r="G33" s="87" t="s">
        <v>151</v>
      </c>
      <c r="H33" s="87"/>
      <c r="I33" s="99"/>
    </row>
    <row r="34" spans="1:9" ht="15" customHeight="1">
      <c r="A34" s="98" t="s">
        <v>151</v>
      </c>
      <c r="B34" s="87"/>
      <c r="C34" s="99"/>
      <c r="D34" s="87" t="s">
        <v>151</v>
      </c>
      <c r="E34" s="87"/>
      <c r="F34" s="99"/>
      <c r="G34" s="87" t="s">
        <v>151</v>
      </c>
      <c r="H34" s="87"/>
      <c r="I34" s="99"/>
    </row>
    <row r="35" spans="1:9" ht="15" customHeight="1">
      <c r="A35" s="100" t="s">
        <v>44</v>
      </c>
      <c r="B35" s="101"/>
      <c r="C35" s="102"/>
      <c r="D35" s="101" t="s">
        <v>44</v>
      </c>
      <c r="E35" s="101"/>
      <c r="F35" s="102"/>
      <c r="G35" s="101" t="s">
        <v>44</v>
      </c>
      <c r="H35" s="101"/>
      <c r="I35" s="102"/>
    </row>
    <row r="36" ht="15" customHeight="1">
      <c r="A36" s="42" t="s">
        <v>15</v>
      </c>
    </row>
    <row r="37" spans="1:9" ht="12.75" customHeight="1">
      <c r="A37" s="67" t="s">
        <v>151</v>
      </c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57" t="s">
        <v>30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11</v>
      </c>
      <c r="B2" s="60"/>
      <c r="C2" s="68" t="str">
        <f>'Stavební rozpočet'!C2</f>
        <v>VNĚJŠÍ OCHRANA PŘED BLESKEM, Magistrát města Chomutov, Zborovská 4602, 430 01 Chomutov</v>
      </c>
      <c r="D2" s="69"/>
      <c r="E2" s="66" t="s">
        <v>185</v>
      </c>
      <c r="F2" s="66" t="str">
        <f>'Stavební rozpočet'!J2</f>
        <v> </v>
      </c>
      <c r="G2" s="60"/>
      <c r="H2" s="66" t="s">
        <v>139</v>
      </c>
      <c r="I2" s="71" t="s">
        <v>151</v>
      </c>
    </row>
    <row r="3" spans="1:9" ht="39" customHeight="1">
      <c r="A3" s="61"/>
      <c r="B3" s="62"/>
      <c r="C3" s="70"/>
      <c r="D3" s="70"/>
      <c r="E3" s="62"/>
      <c r="F3" s="62"/>
      <c r="G3" s="62"/>
      <c r="H3" s="62"/>
      <c r="I3" s="72"/>
    </row>
    <row r="4" spans="1:9" ht="15" customHeight="1">
      <c r="A4" s="63" t="s">
        <v>112</v>
      </c>
      <c r="B4" s="62"/>
      <c r="C4" s="67" t="str">
        <f>'Stavební rozpočet'!C4</f>
        <v>D.1.4 - SILNOPROUDÁ ELEKTROTECHNIKA</v>
      </c>
      <c r="D4" s="62"/>
      <c r="E4" s="67" t="s">
        <v>148</v>
      </c>
      <c r="F4" s="67" t="str">
        <f>'Stavební rozpočet'!J4</f>
        <v> </v>
      </c>
      <c r="G4" s="62"/>
      <c r="H4" s="67" t="s">
        <v>139</v>
      </c>
      <c r="I4" s="72" t="s">
        <v>151</v>
      </c>
    </row>
    <row r="5" spans="1:9" ht="15" customHeight="1">
      <c r="A5" s="61"/>
      <c r="B5" s="62"/>
      <c r="C5" s="62"/>
      <c r="D5" s="62"/>
      <c r="E5" s="62"/>
      <c r="F5" s="62"/>
      <c r="G5" s="62"/>
      <c r="H5" s="62"/>
      <c r="I5" s="72"/>
    </row>
    <row r="6" spans="1:9" ht="15" customHeight="1">
      <c r="A6" s="63" t="s">
        <v>16</v>
      </c>
      <c r="B6" s="62"/>
      <c r="C6" s="67" t="str">
        <f>'Stavební rozpočet'!C6</f>
        <v>Chomutov, Ústecký kraj</v>
      </c>
      <c r="D6" s="62"/>
      <c r="E6" s="67" t="s">
        <v>191</v>
      </c>
      <c r="F6" s="67" t="str">
        <f>'Stavební rozpočet'!J6</f>
        <v> </v>
      </c>
      <c r="G6" s="62"/>
      <c r="H6" s="67" t="s">
        <v>139</v>
      </c>
      <c r="I6" s="72" t="s">
        <v>151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72"/>
    </row>
    <row r="8" spans="1:9" ht="15" customHeight="1">
      <c r="A8" s="63" t="s">
        <v>195</v>
      </c>
      <c r="B8" s="62"/>
      <c r="C8" s="67" t="str">
        <f>'Stavební rozpočet'!G4</f>
        <v>07.06.2023</v>
      </c>
      <c r="D8" s="62"/>
      <c r="E8" s="67" t="s">
        <v>69</v>
      </c>
      <c r="F8" s="67" t="str">
        <f>'Stavební rozpočet'!G6</f>
        <v> </v>
      </c>
      <c r="G8" s="62"/>
      <c r="H8" s="62" t="s">
        <v>221</v>
      </c>
      <c r="I8" s="73">
        <v>32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72"/>
    </row>
    <row r="10" spans="1:9" ht="15" customHeight="1">
      <c r="A10" s="63" t="s">
        <v>103</v>
      </c>
      <c r="B10" s="62"/>
      <c r="C10" s="67" t="str">
        <f>'Stavební rozpočet'!C8</f>
        <v> </v>
      </c>
      <c r="D10" s="62"/>
      <c r="E10" s="67" t="s">
        <v>142</v>
      </c>
      <c r="F10" s="67" t="str">
        <f>'Stavební rozpočet'!J8</f>
        <v>Libor Slavík</v>
      </c>
      <c r="G10" s="62"/>
      <c r="H10" s="62" t="s">
        <v>211</v>
      </c>
      <c r="I10" s="74" t="str">
        <f>'Stavební rozpočet'!G8</f>
        <v>24.07.2023</v>
      </c>
    </row>
    <row r="11" spans="1:9" ht="15" customHeight="1">
      <c r="A11" s="64"/>
      <c r="B11" s="65"/>
      <c r="C11" s="65"/>
      <c r="D11" s="65"/>
      <c r="E11" s="65"/>
      <c r="F11" s="65"/>
      <c r="G11" s="65"/>
      <c r="H11" s="65"/>
      <c r="I11" s="75"/>
    </row>
    <row r="13" spans="1:5" ht="15.75" customHeight="1">
      <c r="A13" s="103" t="s">
        <v>79</v>
      </c>
      <c r="B13" s="103"/>
      <c r="C13" s="103"/>
      <c r="D13" s="103"/>
      <c r="E13" s="103"/>
    </row>
    <row r="14" spans="1:9" ht="15" customHeight="1">
      <c r="A14" s="104" t="s">
        <v>242</v>
      </c>
      <c r="B14" s="105"/>
      <c r="C14" s="105"/>
      <c r="D14" s="105"/>
      <c r="E14" s="106"/>
      <c r="F14" s="41" t="s">
        <v>227</v>
      </c>
      <c r="G14" s="41" t="s">
        <v>192</v>
      </c>
      <c r="H14" s="41" t="s">
        <v>51</v>
      </c>
      <c r="I14" s="41" t="s">
        <v>227</v>
      </c>
    </row>
    <row r="15" spans="1:9" ht="15" customHeight="1">
      <c r="A15" s="64" t="s">
        <v>158</v>
      </c>
      <c r="B15" s="65"/>
      <c r="C15" s="65"/>
      <c r="D15" s="65"/>
      <c r="E15" s="75"/>
      <c r="F15" s="38">
        <v>0</v>
      </c>
      <c r="G15" s="30" t="s">
        <v>151</v>
      </c>
      <c r="H15" s="30" t="s">
        <v>151</v>
      </c>
      <c r="I15" s="38">
        <f>F15</f>
        <v>0</v>
      </c>
    </row>
    <row r="16" spans="1:9" ht="15" customHeight="1">
      <c r="A16" s="64" t="s">
        <v>21</v>
      </c>
      <c r="B16" s="65"/>
      <c r="C16" s="65"/>
      <c r="D16" s="65"/>
      <c r="E16" s="75"/>
      <c r="F16" s="38">
        <v>0</v>
      </c>
      <c r="G16" s="30" t="s">
        <v>151</v>
      </c>
      <c r="H16" s="30" t="s">
        <v>151</v>
      </c>
      <c r="I16" s="38">
        <f>F16</f>
        <v>0</v>
      </c>
    </row>
    <row r="17" spans="1:9" ht="15" customHeight="1">
      <c r="A17" s="61" t="s">
        <v>161</v>
      </c>
      <c r="B17" s="62"/>
      <c r="C17" s="62"/>
      <c r="D17" s="62"/>
      <c r="E17" s="72"/>
      <c r="F17" s="51">
        <v>0</v>
      </c>
      <c r="G17" s="2" t="s">
        <v>151</v>
      </c>
      <c r="H17" s="2" t="s">
        <v>151</v>
      </c>
      <c r="I17" s="51">
        <f>F17</f>
        <v>0</v>
      </c>
    </row>
    <row r="18" spans="1:9" ht="15" customHeight="1">
      <c r="A18" s="107" t="s">
        <v>238</v>
      </c>
      <c r="B18" s="108"/>
      <c r="C18" s="108"/>
      <c r="D18" s="108"/>
      <c r="E18" s="109"/>
      <c r="F18" s="22" t="s">
        <v>151</v>
      </c>
      <c r="G18" s="5" t="s">
        <v>151</v>
      </c>
      <c r="H18" s="5" t="s">
        <v>151</v>
      </c>
      <c r="I18" s="23">
        <f>SUM(I15:I17)</f>
        <v>0</v>
      </c>
    </row>
    <row r="20" spans="1:9" ht="15" customHeight="1">
      <c r="A20" s="104" t="s">
        <v>40</v>
      </c>
      <c r="B20" s="105"/>
      <c r="C20" s="105"/>
      <c r="D20" s="105"/>
      <c r="E20" s="106"/>
      <c r="F20" s="41" t="s">
        <v>227</v>
      </c>
      <c r="G20" s="41" t="s">
        <v>192</v>
      </c>
      <c r="H20" s="41" t="s">
        <v>51</v>
      </c>
      <c r="I20" s="41" t="s">
        <v>227</v>
      </c>
    </row>
    <row r="21" spans="1:9" ht="15" customHeight="1">
      <c r="A21" s="64" t="s">
        <v>23</v>
      </c>
      <c r="B21" s="65"/>
      <c r="C21" s="65"/>
      <c r="D21" s="65"/>
      <c r="E21" s="75"/>
      <c r="F21" s="38">
        <v>0</v>
      </c>
      <c r="G21" s="30" t="s">
        <v>151</v>
      </c>
      <c r="H21" s="30" t="s">
        <v>151</v>
      </c>
      <c r="I21" s="38">
        <f aca="true" t="shared" si="0" ref="I21:I26">F21</f>
        <v>0</v>
      </c>
    </row>
    <row r="22" spans="1:9" ht="15" customHeight="1">
      <c r="A22" s="64" t="s">
        <v>172</v>
      </c>
      <c r="B22" s="65"/>
      <c r="C22" s="65"/>
      <c r="D22" s="65"/>
      <c r="E22" s="75"/>
      <c r="F22" s="38">
        <v>0</v>
      </c>
      <c r="G22" s="30" t="s">
        <v>151</v>
      </c>
      <c r="H22" s="30" t="s">
        <v>151</v>
      </c>
      <c r="I22" s="38">
        <f t="shared" si="0"/>
        <v>0</v>
      </c>
    </row>
    <row r="23" spans="1:9" ht="15" customHeight="1">
      <c r="A23" s="64" t="s">
        <v>209</v>
      </c>
      <c r="B23" s="65"/>
      <c r="C23" s="65"/>
      <c r="D23" s="65"/>
      <c r="E23" s="75"/>
      <c r="F23" s="38">
        <v>0</v>
      </c>
      <c r="G23" s="30" t="s">
        <v>151</v>
      </c>
      <c r="H23" s="30" t="s">
        <v>151</v>
      </c>
      <c r="I23" s="38">
        <f t="shared" si="0"/>
        <v>0</v>
      </c>
    </row>
    <row r="24" spans="1:9" ht="15" customHeight="1">
      <c r="A24" s="64" t="s">
        <v>109</v>
      </c>
      <c r="B24" s="65"/>
      <c r="C24" s="65"/>
      <c r="D24" s="65"/>
      <c r="E24" s="75"/>
      <c r="F24" s="38">
        <v>0</v>
      </c>
      <c r="G24" s="30" t="s">
        <v>151</v>
      </c>
      <c r="H24" s="30" t="s">
        <v>151</v>
      </c>
      <c r="I24" s="38">
        <f t="shared" si="0"/>
        <v>0</v>
      </c>
    </row>
    <row r="25" spans="1:9" ht="15" customHeight="1">
      <c r="A25" s="64" t="s">
        <v>140</v>
      </c>
      <c r="B25" s="65"/>
      <c r="C25" s="65"/>
      <c r="D25" s="65"/>
      <c r="E25" s="75"/>
      <c r="F25" s="38">
        <v>0</v>
      </c>
      <c r="G25" s="30" t="s">
        <v>151</v>
      </c>
      <c r="H25" s="30" t="s">
        <v>151</v>
      </c>
      <c r="I25" s="38">
        <f t="shared" si="0"/>
        <v>0</v>
      </c>
    </row>
    <row r="26" spans="1:9" ht="15" customHeight="1">
      <c r="A26" s="61" t="s">
        <v>216</v>
      </c>
      <c r="B26" s="62"/>
      <c r="C26" s="62"/>
      <c r="D26" s="62"/>
      <c r="E26" s="72"/>
      <c r="F26" s="51">
        <v>0</v>
      </c>
      <c r="G26" s="2" t="s">
        <v>151</v>
      </c>
      <c r="H26" s="2" t="s">
        <v>151</v>
      </c>
      <c r="I26" s="51">
        <f t="shared" si="0"/>
        <v>0</v>
      </c>
    </row>
    <row r="27" spans="1:9" ht="15" customHeight="1">
      <c r="A27" s="107" t="s">
        <v>86</v>
      </c>
      <c r="B27" s="108"/>
      <c r="C27" s="108"/>
      <c r="D27" s="108"/>
      <c r="E27" s="109"/>
      <c r="F27" s="22" t="s">
        <v>151</v>
      </c>
      <c r="G27" s="5" t="s">
        <v>151</v>
      </c>
      <c r="H27" s="5" t="s">
        <v>151</v>
      </c>
      <c r="I27" s="23">
        <f>SUM(I21:I26)</f>
        <v>0</v>
      </c>
    </row>
    <row r="29" spans="1:9" ht="15.75" customHeight="1">
      <c r="A29" s="110" t="s">
        <v>231</v>
      </c>
      <c r="B29" s="111"/>
      <c r="C29" s="111"/>
      <c r="D29" s="111"/>
      <c r="E29" s="112"/>
      <c r="F29" s="113">
        <f>I18+I27</f>
        <v>0</v>
      </c>
      <c r="G29" s="114"/>
      <c r="H29" s="114"/>
      <c r="I29" s="115"/>
    </row>
    <row r="33" spans="1:5" ht="15.75" customHeight="1">
      <c r="A33" s="103" t="s">
        <v>225</v>
      </c>
      <c r="B33" s="103"/>
      <c r="C33" s="103"/>
      <c r="D33" s="103"/>
      <c r="E33" s="103"/>
    </row>
    <row r="34" spans="1:9" ht="15" customHeight="1">
      <c r="A34" s="104" t="s">
        <v>236</v>
      </c>
      <c r="B34" s="105"/>
      <c r="C34" s="105"/>
      <c r="D34" s="105"/>
      <c r="E34" s="106"/>
      <c r="F34" s="41" t="s">
        <v>227</v>
      </c>
      <c r="G34" s="41" t="s">
        <v>192</v>
      </c>
      <c r="H34" s="41" t="s">
        <v>51</v>
      </c>
      <c r="I34" s="41" t="s">
        <v>227</v>
      </c>
    </row>
    <row r="35" spans="1:9" ht="15" customHeight="1">
      <c r="A35" s="61" t="s">
        <v>151</v>
      </c>
      <c r="B35" s="62"/>
      <c r="C35" s="62"/>
      <c r="D35" s="62"/>
      <c r="E35" s="72"/>
      <c r="F35" s="51">
        <v>0</v>
      </c>
      <c r="G35" s="2" t="s">
        <v>151</v>
      </c>
      <c r="H35" s="2" t="s">
        <v>151</v>
      </c>
      <c r="I35" s="51">
        <f>F35</f>
        <v>0</v>
      </c>
    </row>
    <row r="36" spans="1:9" ht="15" customHeight="1">
      <c r="A36" s="107" t="s">
        <v>74</v>
      </c>
      <c r="B36" s="108"/>
      <c r="C36" s="108"/>
      <c r="D36" s="108"/>
      <c r="E36" s="109"/>
      <c r="F36" s="22" t="s">
        <v>151</v>
      </c>
      <c r="G36" s="5" t="s">
        <v>151</v>
      </c>
      <c r="H36" s="5" t="s">
        <v>151</v>
      </c>
      <c r="I36" s="23">
        <f>SUM(I35:I35)</f>
        <v>0</v>
      </c>
    </row>
  </sheetData>
  <sheetProtection/>
  <mergeCells count="51">
    <mergeCell ref="A36:E36"/>
    <mergeCell ref="A27:E27"/>
    <mergeCell ref="A29:E29"/>
    <mergeCell ref="F29:I29"/>
    <mergeCell ref="A33:E33"/>
    <mergeCell ref="A34:E34"/>
    <mergeCell ref="A35:E35"/>
    <mergeCell ref="A21:E21"/>
    <mergeCell ref="A22:E22"/>
    <mergeCell ref="A23:E23"/>
    <mergeCell ref="A24:E24"/>
    <mergeCell ref="A25:E25"/>
    <mergeCell ref="A26:E26"/>
    <mergeCell ref="A14:E14"/>
    <mergeCell ref="A15:E15"/>
    <mergeCell ref="A16:E16"/>
    <mergeCell ref="A17:E17"/>
    <mergeCell ref="A18:E18"/>
    <mergeCell ref="A20:E20"/>
    <mergeCell ref="I2:I3"/>
    <mergeCell ref="I4:I5"/>
    <mergeCell ref="I6:I7"/>
    <mergeCell ref="I8:I9"/>
    <mergeCell ref="I10:I11"/>
    <mergeCell ref="A13:E13"/>
    <mergeCell ref="C2:D3"/>
    <mergeCell ref="C4:D5"/>
    <mergeCell ref="C6:D7"/>
    <mergeCell ref="C8:D9"/>
    <mergeCell ref="C10:D11"/>
    <mergeCell ref="F2:G3"/>
    <mergeCell ref="F4:G5"/>
    <mergeCell ref="F6:G7"/>
    <mergeCell ref="F8:G9"/>
    <mergeCell ref="F10:G11"/>
    <mergeCell ref="E10:E11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6"/>
  <sheetViews>
    <sheetView showOutlineSymbols="0" zoomScalePageLayoutView="0" workbookViewId="0" topLeftCell="A1">
      <pane ySplit="11" topLeftCell="A12" activePane="bottomLeft" state="frozen"/>
      <selection pane="topLeft" activeCell="A66" sqref="A66:M66"/>
      <selection pane="bottomLeft" activeCell="A1" sqref="A1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85.66015625" style="0" customWidth="1"/>
    <col min="5" max="6" width="14.16015625" style="0" customWidth="1"/>
    <col min="7" max="7" width="5.33203125" style="0" customWidth="1"/>
    <col min="8" max="8" width="15" style="0" customWidth="1"/>
    <col min="9" max="9" width="14" style="0" customWidth="1"/>
    <col min="10" max="12" width="18.33203125" style="0" customWidth="1"/>
    <col min="13" max="13" width="15.66015625" style="0" customWidth="1"/>
    <col min="14" max="24" width="14.16015625" style="0" customWidth="1"/>
    <col min="25" max="74" width="14.16015625" style="0" hidden="1" customWidth="1"/>
  </cols>
  <sheetData>
    <row r="1" spans="1:47" ht="54.75" customHeight="1">
      <c r="A1" s="58" t="s">
        <v>200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AS1" s="6">
        <f>SUM(AJ1:AJ2)</f>
        <v>0</v>
      </c>
      <c r="AT1" s="6">
        <f>SUM(AK1:AK2)</f>
        <v>0</v>
      </c>
      <c r="AU1" s="6">
        <f>SUM(AL1:AL2)</f>
        <v>0</v>
      </c>
    </row>
    <row r="2" spans="1:13" ht="15" customHeight="1">
      <c r="A2" s="59" t="s">
        <v>11</v>
      </c>
      <c r="B2" s="60"/>
      <c r="C2" s="68" t="s">
        <v>165</v>
      </c>
      <c r="D2" s="69"/>
      <c r="E2" s="60" t="s">
        <v>0</v>
      </c>
      <c r="F2" s="60"/>
      <c r="G2" s="60" t="s">
        <v>201</v>
      </c>
      <c r="H2" s="60"/>
      <c r="I2" s="66" t="s">
        <v>185</v>
      </c>
      <c r="J2" s="60" t="s">
        <v>101</v>
      </c>
      <c r="K2" s="60"/>
      <c r="L2" s="60"/>
      <c r="M2" s="71"/>
    </row>
    <row r="3" spans="1:13" ht="15" customHeight="1">
      <c r="A3" s="61"/>
      <c r="B3" s="62"/>
      <c r="C3" s="70"/>
      <c r="D3" s="70"/>
      <c r="E3" s="62"/>
      <c r="F3" s="62"/>
      <c r="G3" s="62"/>
      <c r="H3" s="62"/>
      <c r="I3" s="62"/>
      <c r="J3" s="62"/>
      <c r="K3" s="62"/>
      <c r="L3" s="62"/>
      <c r="M3" s="72"/>
    </row>
    <row r="4" spans="1:13" ht="15" customHeight="1">
      <c r="A4" s="63" t="s">
        <v>112</v>
      </c>
      <c r="B4" s="62"/>
      <c r="C4" s="67" t="s">
        <v>100</v>
      </c>
      <c r="D4" s="62"/>
      <c r="E4" s="62" t="s">
        <v>195</v>
      </c>
      <c r="F4" s="62"/>
      <c r="G4" s="62" t="s">
        <v>56</v>
      </c>
      <c r="H4" s="62"/>
      <c r="I4" s="67" t="s">
        <v>148</v>
      </c>
      <c r="J4" s="62" t="s">
        <v>101</v>
      </c>
      <c r="K4" s="62"/>
      <c r="L4" s="62"/>
      <c r="M4" s="72"/>
    </row>
    <row r="5" spans="1:13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72"/>
    </row>
    <row r="6" spans="1:13" ht="15" customHeight="1">
      <c r="A6" s="63" t="s">
        <v>16</v>
      </c>
      <c r="B6" s="62"/>
      <c r="C6" s="67" t="s">
        <v>89</v>
      </c>
      <c r="D6" s="62"/>
      <c r="E6" s="62" t="s">
        <v>69</v>
      </c>
      <c r="F6" s="62"/>
      <c r="G6" s="62" t="s">
        <v>201</v>
      </c>
      <c r="H6" s="62"/>
      <c r="I6" s="67" t="s">
        <v>191</v>
      </c>
      <c r="J6" s="62" t="s">
        <v>101</v>
      </c>
      <c r="K6" s="62"/>
      <c r="L6" s="62"/>
      <c r="M6" s="72"/>
    </row>
    <row r="7" spans="1:13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72"/>
    </row>
    <row r="8" spans="1:13" ht="15" customHeight="1">
      <c r="A8" s="63" t="s">
        <v>103</v>
      </c>
      <c r="B8" s="62"/>
      <c r="C8" s="67" t="s">
        <v>201</v>
      </c>
      <c r="D8" s="62"/>
      <c r="E8" s="62" t="s">
        <v>115</v>
      </c>
      <c r="F8" s="62"/>
      <c r="G8" s="62" t="s">
        <v>111</v>
      </c>
      <c r="H8" s="62"/>
      <c r="I8" s="67" t="s">
        <v>142</v>
      </c>
      <c r="J8" s="67" t="s">
        <v>186</v>
      </c>
      <c r="K8" s="62"/>
      <c r="L8" s="62"/>
      <c r="M8" s="72"/>
    </row>
    <row r="9" spans="1:13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72"/>
    </row>
    <row r="10" spans="1:64" ht="15" customHeight="1">
      <c r="A10" s="7" t="s">
        <v>14</v>
      </c>
      <c r="B10" s="47" t="s">
        <v>70</v>
      </c>
      <c r="C10" s="116" t="s">
        <v>150</v>
      </c>
      <c r="D10" s="116"/>
      <c r="E10" s="116"/>
      <c r="F10" s="117"/>
      <c r="G10" s="47" t="s">
        <v>73</v>
      </c>
      <c r="H10" s="21" t="s">
        <v>124</v>
      </c>
      <c r="I10" s="8" t="s">
        <v>68</v>
      </c>
      <c r="J10" s="120" t="s">
        <v>134</v>
      </c>
      <c r="K10" s="121"/>
      <c r="L10" s="122"/>
      <c r="M10" s="21" t="s">
        <v>59</v>
      </c>
      <c r="BK10" s="50" t="s">
        <v>84</v>
      </c>
      <c r="BL10" s="16" t="s">
        <v>108</v>
      </c>
    </row>
    <row r="11" spans="1:62" ht="15" customHeight="1">
      <c r="A11" s="29" t="s">
        <v>201</v>
      </c>
      <c r="B11" s="53" t="s">
        <v>201</v>
      </c>
      <c r="C11" s="118" t="s">
        <v>219</v>
      </c>
      <c r="D11" s="118"/>
      <c r="E11" s="118"/>
      <c r="F11" s="119"/>
      <c r="G11" s="53" t="s">
        <v>201</v>
      </c>
      <c r="H11" s="53" t="s">
        <v>201</v>
      </c>
      <c r="I11" s="37" t="s">
        <v>205</v>
      </c>
      <c r="J11" s="31" t="s">
        <v>9</v>
      </c>
      <c r="K11" s="10" t="s">
        <v>43</v>
      </c>
      <c r="L11" s="35" t="s">
        <v>22</v>
      </c>
      <c r="M11" s="10" t="s">
        <v>55</v>
      </c>
      <c r="Z11" s="50" t="s">
        <v>168</v>
      </c>
      <c r="AA11" s="50" t="s">
        <v>128</v>
      </c>
      <c r="AB11" s="50" t="s">
        <v>226</v>
      </c>
      <c r="AC11" s="50" t="s">
        <v>60</v>
      </c>
      <c r="AD11" s="50" t="s">
        <v>188</v>
      </c>
      <c r="AE11" s="50" t="s">
        <v>77</v>
      </c>
      <c r="AF11" s="50" t="s">
        <v>198</v>
      </c>
      <c r="AG11" s="50" t="s">
        <v>92</v>
      </c>
      <c r="AH11" s="50" t="s">
        <v>57</v>
      </c>
      <c r="BH11" s="50" t="s">
        <v>169</v>
      </c>
      <c r="BI11" s="50" t="s">
        <v>223</v>
      </c>
      <c r="BJ11" s="50" t="s">
        <v>240</v>
      </c>
    </row>
    <row r="12" spans="1:13" ht="15" customHeight="1">
      <c r="A12" s="25" t="s">
        <v>151</v>
      </c>
      <c r="B12" s="36" t="s">
        <v>151</v>
      </c>
      <c r="C12" s="123" t="s">
        <v>48</v>
      </c>
      <c r="D12" s="123"/>
      <c r="E12" s="123"/>
      <c r="F12" s="123"/>
      <c r="G12" s="19" t="s">
        <v>201</v>
      </c>
      <c r="H12" s="19" t="s">
        <v>201</v>
      </c>
      <c r="I12" s="19" t="s">
        <v>201</v>
      </c>
      <c r="J12" s="24">
        <f>J13+J39+J55+J61</f>
        <v>0</v>
      </c>
      <c r="K12" s="24">
        <f>K13+K39+K55+K61</f>
        <v>0</v>
      </c>
      <c r="L12" s="24">
        <f>L13+L39+L55+L61</f>
        <v>0</v>
      </c>
      <c r="M12" s="48" t="s">
        <v>151</v>
      </c>
    </row>
    <row r="13" spans="1:47" ht="15" customHeight="1">
      <c r="A13" s="52" t="s">
        <v>151</v>
      </c>
      <c r="B13" s="54" t="s">
        <v>32</v>
      </c>
      <c r="C13" s="123" t="s">
        <v>71</v>
      </c>
      <c r="D13" s="123"/>
      <c r="E13" s="123"/>
      <c r="F13" s="123"/>
      <c r="G13" s="49" t="s">
        <v>201</v>
      </c>
      <c r="H13" s="49" t="s">
        <v>201</v>
      </c>
      <c r="I13" s="49" t="s">
        <v>201</v>
      </c>
      <c r="J13" s="6">
        <f>SUM(J14:J37)</f>
        <v>0</v>
      </c>
      <c r="K13" s="6">
        <f>SUM(K14:K37)</f>
        <v>0</v>
      </c>
      <c r="L13" s="6">
        <f>SUM(L14:L37)</f>
        <v>0</v>
      </c>
      <c r="M13" s="13" t="s">
        <v>151</v>
      </c>
      <c r="AI13" s="50" t="s">
        <v>151</v>
      </c>
      <c r="AS13" s="6">
        <f>SUM(AJ14:AJ37)</f>
        <v>0</v>
      </c>
      <c r="AT13" s="6">
        <f>SUM(AK14:AK37)</f>
        <v>0</v>
      </c>
      <c r="AU13" s="6">
        <f>SUM(AL14:AL37)</f>
        <v>0</v>
      </c>
    </row>
    <row r="14" spans="1:64" ht="15" customHeight="1">
      <c r="A14" s="15" t="s">
        <v>217</v>
      </c>
      <c r="B14" s="3" t="s">
        <v>243</v>
      </c>
      <c r="C14" s="62" t="s">
        <v>175</v>
      </c>
      <c r="D14" s="62"/>
      <c r="E14" s="62"/>
      <c r="F14" s="62"/>
      <c r="G14" s="3" t="s">
        <v>179</v>
      </c>
      <c r="H14" s="46">
        <v>760</v>
      </c>
      <c r="I14" s="46">
        <v>0</v>
      </c>
      <c r="J14" s="46">
        <f>H14*AO14</f>
        <v>0</v>
      </c>
      <c r="K14" s="46">
        <f>H14*AP14</f>
        <v>0</v>
      </c>
      <c r="L14" s="46">
        <f>H14*I14</f>
        <v>0</v>
      </c>
      <c r="M14" s="43" t="s">
        <v>146</v>
      </c>
      <c r="Z14" s="46">
        <f>IF(AQ14="5",BJ14,0)</f>
        <v>0</v>
      </c>
      <c r="AB14" s="46">
        <f>IF(AQ14="1",BH14,0)</f>
        <v>0</v>
      </c>
      <c r="AC14" s="46">
        <f>IF(AQ14="1",BI14,0)</f>
        <v>0</v>
      </c>
      <c r="AD14" s="46">
        <f>IF(AQ14="7",BH14,0)</f>
        <v>0</v>
      </c>
      <c r="AE14" s="46">
        <f>IF(AQ14="7",BI14,0)</f>
        <v>0</v>
      </c>
      <c r="AF14" s="46">
        <f>IF(AQ14="2",BH14,0)</f>
        <v>0</v>
      </c>
      <c r="AG14" s="46">
        <f>IF(AQ14="2",BI14,0)</f>
        <v>0</v>
      </c>
      <c r="AH14" s="46">
        <f>IF(AQ14="0",BJ14,0)</f>
        <v>0</v>
      </c>
      <c r="AI14" s="50" t="s">
        <v>151</v>
      </c>
      <c r="AJ14" s="46">
        <f>IF(AN14=0,L14,0)</f>
        <v>0</v>
      </c>
      <c r="AK14" s="46">
        <f>IF(AN14=15,L14,0)</f>
        <v>0</v>
      </c>
      <c r="AL14" s="46">
        <f>IF(AN14=21,L14,0)</f>
        <v>0</v>
      </c>
      <c r="AN14" s="46">
        <v>21</v>
      </c>
      <c r="AO14" s="46">
        <f>I14*0.0735653550896761</f>
        <v>0</v>
      </c>
      <c r="AP14" s="46">
        <f>I14*(1-0.0735653550896761)</f>
        <v>0</v>
      </c>
      <c r="AQ14" s="1" t="s">
        <v>147</v>
      </c>
      <c r="AV14" s="46">
        <f>AW14+AX14</f>
        <v>0</v>
      </c>
      <c r="AW14" s="46">
        <f>H14*AO14</f>
        <v>0</v>
      </c>
      <c r="AX14" s="46">
        <f>H14*AP14</f>
        <v>0</v>
      </c>
      <c r="AY14" s="1" t="s">
        <v>229</v>
      </c>
      <c r="AZ14" s="1" t="s">
        <v>2</v>
      </c>
      <c r="BA14" s="50" t="s">
        <v>166</v>
      </c>
      <c r="BC14" s="46">
        <f>AW14+AX14</f>
        <v>0</v>
      </c>
      <c r="BD14" s="46">
        <f>I14/(100-BE14)*100</f>
        <v>0</v>
      </c>
      <c r="BE14" s="46">
        <v>0</v>
      </c>
      <c r="BF14" s="46">
        <f>14</f>
        <v>14</v>
      </c>
      <c r="BH14" s="46">
        <f>H14*AO14</f>
        <v>0</v>
      </c>
      <c r="BI14" s="46">
        <f>H14*AP14</f>
        <v>0</v>
      </c>
      <c r="BJ14" s="46">
        <f>H14*I14</f>
        <v>0</v>
      </c>
      <c r="BK14" s="46"/>
      <c r="BL14" s="46"/>
    </row>
    <row r="15" spans="1:13" ht="13.5" customHeight="1">
      <c r="A15" s="33"/>
      <c r="B15" s="11" t="s">
        <v>106</v>
      </c>
      <c r="C15" s="124" t="s">
        <v>80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6"/>
    </row>
    <row r="16" spans="1:64" ht="15" customHeight="1">
      <c r="A16" s="15" t="s">
        <v>147</v>
      </c>
      <c r="B16" s="3" t="s">
        <v>90</v>
      </c>
      <c r="C16" s="62" t="s">
        <v>144</v>
      </c>
      <c r="D16" s="62"/>
      <c r="E16" s="62"/>
      <c r="F16" s="62"/>
      <c r="G16" s="3" t="s">
        <v>53</v>
      </c>
      <c r="H16" s="46">
        <v>350</v>
      </c>
      <c r="I16" s="46">
        <v>0</v>
      </c>
      <c r="J16" s="46">
        <f>H16*AO16</f>
        <v>0</v>
      </c>
      <c r="K16" s="46">
        <f>H16*AP16</f>
        <v>0</v>
      </c>
      <c r="L16" s="46">
        <f>H16*I16</f>
        <v>0</v>
      </c>
      <c r="M16" s="43" t="s">
        <v>146</v>
      </c>
      <c r="Z16" s="46">
        <f>IF(AQ16="5",BJ16,0)</f>
        <v>0</v>
      </c>
      <c r="AB16" s="46">
        <f>IF(AQ16="1",BH16,0)</f>
        <v>0</v>
      </c>
      <c r="AC16" s="46">
        <f>IF(AQ16="1",BI16,0)</f>
        <v>0</v>
      </c>
      <c r="AD16" s="46">
        <f>IF(AQ16="7",BH16,0)</f>
        <v>0</v>
      </c>
      <c r="AE16" s="46">
        <f>IF(AQ16="7",BI16,0)</f>
        <v>0</v>
      </c>
      <c r="AF16" s="46">
        <f>IF(AQ16="2",BH16,0)</f>
        <v>0</v>
      </c>
      <c r="AG16" s="46">
        <f>IF(AQ16="2",BI16,0)</f>
        <v>0</v>
      </c>
      <c r="AH16" s="46">
        <f>IF(AQ16="0",BJ16,0)</f>
        <v>0</v>
      </c>
      <c r="AI16" s="50" t="s">
        <v>151</v>
      </c>
      <c r="AJ16" s="46">
        <f>IF(AN16=0,L16,0)</f>
        <v>0</v>
      </c>
      <c r="AK16" s="46">
        <f>IF(AN16=15,L16,0)</f>
        <v>0</v>
      </c>
      <c r="AL16" s="46">
        <f>IF(AN16=21,L16,0)</f>
        <v>0</v>
      </c>
      <c r="AN16" s="46">
        <v>21</v>
      </c>
      <c r="AO16" s="46">
        <f>I16*0.117266666666667</f>
        <v>0</v>
      </c>
      <c r="AP16" s="46">
        <f>I16*(1-0.117266666666667)</f>
        <v>0</v>
      </c>
      <c r="AQ16" s="1" t="s">
        <v>147</v>
      </c>
      <c r="AV16" s="46">
        <f>AW16+AX16</f>
        <v>0</v>
      </c>
      <c r="AW16" s="46">
        <f>H16*AO16</f>
        <v>0</v>
      </c>
      <c r="AX16" s="46">
        <f>H16*AP16</f>
        <v>0</v>
      </c>
      <c r="AY16" s="1" t="s">
        <v>229</v>
      </c>
      <c r="AZ16" s="1" t="s">
        <v>2</v>
      </c>
      <c r="BA16" s="50" t="s">
        <v>166</v>
      </c>
      <c r="BC16" s="46">
        <f>AW16+AX16</f>
        <v>0</v>
      </c>
      <c r="BD16" s="46">
        <f>I16/(100-BE16)*100</f>
        <v>0</v>
      </c>
      <c r="BE16" s="46">
        <v>0</v>
      </c>
      <c r="BF16" s="46">
        <f>16</f>
        <v>16</v>
      </c>
      <c r="BH16" s="46">
        <f>H16*AO16</f>
        <v>0</v>
      </c>
      <c r="BI16" s="46">
        <f>H16*AP16</f>
        <v>0</v>
      </c>
      <c r="BJ16" s="46">
        <f>H16*I16</f>
        <v>0</v>
      </c>
      <c r="BK16" s="46"/>
      <c r="BL16" s="46"/>
    </row>
    <row r="17" spans="1:13" ht="13.5" customHeight="1">
      <c r="A17" s="33"/>
      <c r="B17" s="11" t="s">
        <v>106</v>
      </c>
      <c r="C17" s="124" t="s">
        <v>45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6"/>
    </row>
    <row r="18" spans="1:64" ht="15" customHeight="1">
      <c r="A18" s="15" t="s">
        <v>189</v>
      </c>
      <c r="B18" s="3" t="s">
        <v>177</v>
      </c>
      <c r="C18" s="62" t="s">
        <v>118</v>
      </c>
      <c r="D18" s="62"/>
      <c r="E18" s="62"/>
      <c r="F18" s="62"/>
      <c r="G18" s="3" t="s">
        <v>53</v>
      </c>
      <c r="H18" s="46">
        <v>12</v>
      </c>
      <c r="I18" s="46">
        <v>0</v>
      </c>
      <c r="J18" s="46">
        <f>H18*AO18</f>
        <v>0</v>
      </c>
      <c r="K18" s="46">
        <f>H18*AP18</f>
        <v>0</v>
      </c>
      <c r="L18" s="46">
        <f>H18*I18</f>
        <v>0</v>
      </c>
      <c r="M18" s="43" t="s">
        <v>146</v>
      </c>
      <c r="Z18" s="46">
        <f>IF(AQ18="5",BJ18,0)</f>
        <v>0</v>
      </c>
      <c r="AB18" s="46">
        <f>IF(AQ18="1",BH18,0)</f>
        <v>0</v>
      </c>
      <c r="AC18" s="46">
        <f>IF(AQ18="1",BI18,0)</f>
        <v>0</v>
      </c>
      <c r="AD18" s="46">
        <f>IF(AQ18="7",BH18,0)</f>
        <v>0</v>
      </c>
      <c r="AE18" s="46">
        <f>IF(AQ18="7",BI18,0)</f>
        <v>0</v>
      </c>
      <c r="AF18" s="46">
        <f>IF(AQ18="2",BH18,0)</f>
        <v>0</v>
      </c>
      <c r="AG18" s="46">
        <f>IF(AQ18="2",BI18,0)</f>
        <v>0</v>
      </c>
      <c r="AH18" s="46">
        <f>IF(AQ18="0",BJ18,0)</f>
        <v>0</v>
      </c>
      <c r="AI18" s="50" t="s">
        <v>151</v>
      </c>
      <c r="AJ18" s="46">
        <f>IF(AN18=0,L18,0)</f>
        <v>0</v>
      </c>
      <c r="AK18" s="46">
        <f>IF(AN18=15,L18,0)</f>
        <v>0</v>
      </c>
      <c r="AL18" s="46">
        <f>IF(AN18=21,L18,0)</f>
        <v>0</v>
      </c>
      <c r="AN18" s="46">
        <v>21</v>
      </c>
      <c r="AO18" s="46">
        <f>I18*0.294826666666667</f>
        <v>0</v>
      </c>
      <c r="AP18" s="46">
        <f>I18*(1-0.294826666666667)</f>
        <v>0</v>
      </c>
      <c r="AQ18" s="1" t="s">
        <v>147</v>
      </c>
      <c r="AV18" s="46">
        <f>AW18+AX18</f>
        <v>0</v>
      </c>
      <c r="AW18" s="46">
        <f>H18*AO18</f>
        <v>0</v>
      </c>
      <c r="AX18" s="46">
        <f>H18*AP18</f>
        <v>0</v>
      </c>
      <c r="AY18" s="1" t="s">
        <v>229</v>
      </c>
      <c r="AZ18" s="1" t="s">
        <v>2</v>
      </c>
      <c r="BA18" s="50" t="s">
        <v>166</v>
      </c>
      <c r="BC18" s="46">
        <f>AW18+AX18</f>
        <v>0</v>
      </c>
      <c r="BD18" s="46">
        <f>I18/(100-BE18)*100</f>
        <v>0</v>
      </c>
      <c r="BE18" s="46">
        <v>0</v>
      </c>
      <c r="BF18" s="46">
        <f>18</f>
        <v>18</v>
      </c>
      <c r="BH18" s="46">
        <f>H18*AO18</f>
        <v>0</v>
      </c>
      <c r="BI18" s="46">
        <f>H18*AP18</f>
        <v>0</v>
      </c>
      <c r="BJ18" s="46">
        <f>H18*I18</f>
        <v>0</v>
      </c>
      <c r="BK18" s="46"/>
      <c r="BL18" s="46"/>
    </row>
    <row r="19" spans="1:13" ht="13.5" customHeight="1">
      <c r="A19" s="33"/>
      <c r="B19" s="11" t="s">
        <v>106</v>
      </c>
      <c r="C19" s="124" t="s">
        <v>233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1:64" ht="15" customHeight="1">
      <c r="A20" s="15" t="s">
        <v>24</v>
      </c>
      <c r="B20" s="3" t="s">
        <v>42</v>
      </c>
      <c r="C20" s="62" t="s">
        <v>6</v>
      </c>
      <c r="D20" s="62"/>
      <c r="E20" s="62"/>
      <c r="F20" s="62"/>
      <c r="G20" s="3" t="s">
        <v>53</v>
      </c>
      <c r="H20" s="46">
        <v>12</v>
      </c>
      <c r="I20" s="46">
        <v>0</v>
      </c>
      <c r="J20" s="46">
        <f>H20*AO20</f>
        <v>0</v>
      </c>
      <c r="K20" s="46">
        <f>H20*AP20</f>
        <v>0</v>
      </c>
      <c r="L20" s="46">
        <f>H20*I20</f>
        <v>0</v>
      </c>
      <c r="M20" s="43" t="s">
        <v>146</v>
      </c>
      <c r="Z20" s="46">
        <f>IF(AQ20="5",BJ20,0)</f>
        <v>0</v>
      </c>
      <c r="AB20" s="46">
        <f>IF(AQ20="1",BH20,0)</f>
        <v>0</v>
      </c>
      <c r="AC20" s="46">
        <f>IF(AQ20="1",BI20,0)</f>
        <v>0</v>
      </c>
      <c r="AD20" s="46">
        <f>IF(AQ20="7",BH20,0)</f>
        <v>0</v>
      </c>
      <c r="AE20" s="46">
        <f>IF(AQ20="7",BI20,0)</f>
        <v>0</v>
      </c>
      <c r="AF20" s="46">
        <f>IF(AQ20="2",BH20,0)</f>
        <v>0</v>
      </c>
      <c r="AG20" s="46">
        <f>IF(AQ20="2",BI20,0)</f>
        <v>0</v>
      </c>
      <c r="AH20" s="46">
        <f>IF(AQ20="0",BJ20,0)</f>
        <v>0</v>
      </c>
      <c r="AI20" s="50" t="s">
        <v>151</v>
      </c>
      <c r="AJ20" s="46">
        <f>IF(AN20=0,L20,0)</f>
        <v>0</v>
      </c>
      <c r="AK20" s="46">
        <f>IF(AN20=15,L20,0)</f>
        <v>0</v>
      </c>
      <c r="AL20" s="46">
        <f>IF(AN20=21,L20,0)</f>
        <v>0</v>
      </c>
      <c r="AN20" s="46">
        <v>21</v>
      </c>
      <c r="AO20" s="46">
        <f>I20*0.483563596491228</f>
        <v>0</v>
      </c>
      <c r="AP20" s="46">
        <f>I20*(1-0.483563596491228)</f>
        <v>0</v>
      </c>
      <c r="AQ20" s="1" t="s">
        <v>147</v>
      </c>
      <c r="AV20" s="46">
        <f>AW20+AX20</f>
        <v>0</v>
      </c>
      <c r="AW20" s="46">
        <f>H20*AO20</f>
        <v>0</v>
      </c>
      <c r="AX20" s="46">
        <f>H20*AP20</f>
        <v>0</v>
      </c>
      <c r="AY20" s="1" t="s">
        <v>229</v>
      </c>
      <c r="AZ20" s="1" t="s">
        <v>2</v>
      </c>
      <c r="BA20" s="50" t="s">
        <v>166</v>
      </c>
      <c r="BC20" s="46">
        <f>AW20+AX20</f>
        <v>0</v>
      </c>
      <c r="BD20" s="46">
        <f>I20/(100-BE20)*100</f>
        <v>0</v>
      </c>
      <c r="BE20" s="46">
        <v>0</v>
      </c>
      <c r="BF20" s="46">
        <f>20</f>
        <v>20</v>
      </c>
      <c r="BH20" s="46">
        <f>H20*AO20</f>
        <v>0</v>
      </c>
      <c r="BI20" s="46">
        <f>H20*AP20</f>
        <v>0</v>
      </c>
      <c r="BJ20" s="46">
        <f>H20*I20</f>
        <v>0</v>
      </c>
      <c r="BK20" s="46"/>
      <c r="BL20" s="46"/>
    </row>
    <row r="21" spans="1:64" ht="15" customHeight="1">
      <c r="A21" s="15" t="s">
        <v>110</v>
      </c>
      <c r="B21" s="3" t="s">
        <v>97</v>
      </c>
      <c r="C21" s="62" t="s">
        <v>197</v>
      </c>
      <c r="D21" s="62"/>
      <c r="E21" s="62"/>
      <c r="F21" s="62"/>
      <c r="G21" s="3" t="s">
        <v>53</v>
      </c>
      <c r="H21" s="46">
        <v>12</v>
      </c>
      <c r="I21" s="46">
        <v>0</v>
      </c>
      <c r="J21" s="46">
        <f>H21*AO21</f>
        <v>0</v>
      </c>
      <c r="K21" s="46">
        <f>H21*AP21</f>
        <v>0</v>
      </c>
      <c r="L21" s="46">
        <f>H21*I21</f>
        <v>0</v>
      </c>
      <c r="M21" s="43" t="s">
        <v>146</v>
      </c>
      <c r="Z21" s="46">
        <f>IF(AQ21="5",BJ21,0)</f>
        <v>0</v>
      </c>
      <c r="AB21" s="46">
        <f>IF(AQ21="1",BH21,0)</f>
        <v>0</v>
      </c>
      <c r="AC21" s="46">
        <f>IF(AQ21="1",BI21,0)</f>
        <v>0</v>
      </c>
      <c r="AD21" s="46">
        <f>IF(AQ21="7",BH21,0)</f>
        <v>0</v>
      </c>
      <c r="AE21" s="46">
        <f>IF(AQ21="7",BI21,0)</f>
        <v>0</v>
      </c>
      <c r="AF21" s="46">
        <f>IF(AQ21="2",BH21,0)</f>
        <v>0</v>
      </c>
      <c r="AG21" s="46">
        <f>IF(AQ21="2",BI21,0)</f>
        <v>0</v>
      </c>
      <c r="AH21" s="46">
        <f>IF(AQ21="0",BJ21,0)</f>
        <v>0</v>
      </c>
      <c r="AI21" s="50" t="s">
        <v>151</v>
      </c>
      <c r="AJ21" s="46">
        <f>IF(AN21=0,L21,0)</f>
        <v>0</v>
      </c>
      <c r="AK21" s="46">
        <f>IF(AN21=15,L21,0)</f>
        <v>0</v>
      </c>
      <c r="AL21" s="46">
        <f>IF(AN21=21,L21,0)</f>
        <v>0</v>
      </c>
      <c r="AN21" s="46">
        <v>21</v>
      </c>
      <c r="AO21" s="46">
        <f>I21*0</f>
        <v>0</v>
      </c>
      <c r="AP21" s="46">
        <f>I21*(1-0)</f>
        <v>0</v>
      </c>
      <c r="AQ21" s="1" t="s">
        <v>147</v>
      </c>
      <c r="AV21" s="46">
        <f>AW21+AX21</f>
        <v>0</v>
      </c>
      <c r="AW21" s="46">
        <f>H21*AO21</f>
        <v>0</v>
      </c>
      <c r="AX21" s="46">
        <f>H21*AP21</f>
        <v>0</v>
      </c>
      <c r="AY21" s="1" t="s">
        <v>229</v>
      </c>
      <c r="AZ21" s="1" t="s">
        <v>2</v>
      </c>
      <c r="BA21" s="50" t="s">
        <v>166</v>
      </c>
      <c r="BC21" s="46">
        <f>AW21+AX21</f>
        <v>0</v>
      </c>
      <c r="BD21" s="46">
        <f>I21/(100-BE21)*100</f>
        <v>0</v>
      </c>
      <c r="BE21" s="46">
        <v>0</v>
      </c>
      <c r="BF21" s="46">
        <f>21</f>
        <v>21</v>
      </c>
      <c r="BH21" s="46">
        <f>H21*AO21</f>
        <v>0</v>
      </c>
      <c r="BI21" s="46">
        <f>H21*AP21</f>
        <v>0</v>
      </c>
      <c r="BJ21" s="46">
        <f>H21*I21</f>
        <v>0</v>
      </c>
      <c r="BK21" s="46"/>
      <c r="BL21" s="46"/>
    </row>
    <row r="22" spans="1:64" ht="15" customHeight="1">
      <c r="A22" s="15" t="s">
        <v>34</v>
      </c>
      <c r="B22" s="3" t="s">
        <v>41</v>
      </c>
      <c r="C22" s="62" t="s">
        <v>143</v>
      </c>
      <c r="D22" s="62"/>
      <c r="E22" s="62"/>
      <c r="F22" s="62"/>
      <c r="G22" s="3" t="s">
        <v>179</v>
      </c>
      <c r="H22" s="46">
        <v>12</v>
      </c>
      <c r="I22" s="46">
        <v>0</v>
      </c>
      <c r="J22" s="46">
        <f>H22*AO22</f>
        <v>0</v>
      </c>
      <c r="K22" s="46">
        <f>H22*AP22</f>
        <v>0</v>
      </c>
      <c r="L22" s="46">
        <f>H22*I22</f>
        <v>0</v>
      </c>
      <c r="M22" s="43" t="s">
        <v>146</v>
      </c>
      <c r="Z22" s="46">
        <f>IF(AQ22="5",BJ22,0)</f>
        <v>0</v>
      </c>
      <c r="AB22" s="46">
        <f>IF(AQ22="1",BH22,0)</f>
        <v>0</v>
      </c>
      <c r="AC22" s="46">
        <f>IF(AQ22="1",BI22,0)</f>
        <v>0</v>
      </c>
      <c r="AD22" s="46">
        <f>IF(AQ22="7",BH22,0)</f>
        <v>0</v>
      </c>
      <c r="AE22" s="46">
        <f>IF(AQ22="7",BI22,0)</f>
        <v>0</v>
      </c>
      <c r="AF22" s="46">
        <f>IF(AQ22="2",BH22,0)</f>
        <v>0</v>
      </c>
      <c r="AG22" s="46">
        <f>IF(AQ22="2",BI22,0)</f>
        <v>0</v>
      </c>
      <c r="AH22" s="46">
        <f>IF(AQ22="0",BJ22,0)</f>
        <v>0</v>
      </c>
      <c r="AI22" s="50" t="s">
        <v>151</v>
      </c>
      <c r="AJ22" s="46">
        <f>IF(AN22=0,L22,0)</f>
        <v>0</v>
      </c>
      <c r="AK22" s="46">
        <f>IF(AN22=15,L22,0)</f>
        <v>0</v>
      </c>
      <c r="AL22" s="46">
        <f>IF(AN22=21,L22,0)</f>
        <v>0</v>
      </c>
      <c r="AN22" s="46">
        <v>21</v>
      </c>
      <c r="AO22" s="46">
        <f>I22*0</f>
        <v>0</v>
      </c>
      <c r="AP22" s="46">
        <f>I22*(1-0)</f>
        <v>0</v>
      </c>
      <c r="AQ22" s="1" t="s">
        <v>147</v>
      </c>
      <c r="AV22" s="46">
        <f>AW22+AX22</f>
        <v>0</v>
      </c>
      <c r="AW22" s="46">
        <f>H22*AO22</f>
        <v>0</v>
      </c>
      <c r="AX22" s="46">
        <f>H22*AP22</f>
        <v>0</v>
      </c>
      <c r="AY22" s="1" t="s">
        <v>229</v>
      </c>
      <c r="AZ22" s="1" t="s">
        <v>2</v>
      </c>
      <c r="BA22" s="50" t="s">
        <v>166</v>
      </c>
      <c r="BC22" s="46">
        <f>AW22+AX22</f>
        <v>0</v>
      </c>
      <c r="BD22" s="46">
        <f>I22/(100-BE22)*100</f>
        <v>0</v>
      </c>
      <c r="BE22" s="46">
        <v>0</v>
      </c>
      <c r="BF22" s="46">
        <f>22</f>
        <v>22</v>
      </c>
      <c r="BH22" s="46">
        <f>H22*AO22</f>
        <v>0</v>
      </c>
      <c r="BI22" s="46">
        <f>H22*AP22</f>
        <v>0</v>
      </c>
      <c r="BJ22" s="46">
        <f>H22*I22</f>
        <v>0</v>
      </c>
      <c r="BK22" s="46"/>
      <c r="BL22" s="46"/>
    </row>
    <row r="23" spans="1:64" ht="15" customHeight="1">
      <c r="A23" s="15" t="s">
        <v>218</v>
      </c>
      <c r="B23" s="3" t="s">
        <v>38</v>
      </c>
      <c r="C23" s="62" t="s">
        <v>98</v>
      </c>
      <c r="D23" s="62"/>
      <c r="E23" s="62"/>
      <c r="F23" s="62"/>
      <c r="G23" s="3" t="s">
        <v>53</v>
      </c>
      <c r="H23" s="46">
        <v>12</v>
      </c>
      <c r="I23" s="46">
        <v>0</v>
      </c>
      <c r="J23" s="46">
        <f>H23*AO23</f>
        <v>0</v>
      </c>
      <c r="K23" s="46">
        <f>H23*AP23</f>
        <v>0</v>
      </c>
      <c r="L23" s="46">
        <f>H23*I23</f>
        <v>0</v>
      </c>
      <c r="M23" s="43" t="s">
        <v>146</v>
      </c>
      <c r="Z23" s="46">
        <f>IF(AQ23="5",BJ23,0)</f>
        <v>0</v>
      </c>
      <c r="AB23" s="46">
        <f>IF(AQ23="1",BH23,0)</f>
        <v>0</v>
      </c>
      <c r="AC23" s="46">
        <f>IF(AQ23="1",BI23,0)</f>
        <v>0</v>
      </c>
      <c r="AD23" s="46">
        <f>IF(AQ23="7",BH23,0)</f>
        <v>0</v>
      </c>
      <c r="AE23" s="46">
        <f>IF(AQ23="7",BI23,0)</f>
        <v>0</v>
      </c>
      <c r="AF23" s="46">
        <f>IF(AQ23="2",BH23,0)</f>
        <v>0</v>
      </c>
      <c r="AG23" s="46">
        <f>IF(AQ23="2",BI23,0)</f>
        <v>0</v>
      </c>
      <c r="AH23" s="46">
        <f>IF(AQ23="0",BJ23,0)</f>
        <v>0</v>
      </c>
      <c r="AI23" s="50" t="s">
        <v>151</v>
      </c>
      <c r="AJ23" s="46">
        <f>IF(AN23=0,L23,0)</f>
        <v>0</v>
      </c>
      <c r="AK23" s="46">
        <f>IF(AN23=15,L23,0)</f>
        <v>0</v>
      </c>
      <c r="AL23" s="46">
        <f>IF(AN23=21,L23,0)</f>
        <v>0</v>
      </c>
      <c r="AN23" s="46">
        <v>21</v>
      </c>
      <c r="AO23" s="46">
        <f>I23*0.0632971185640057</f>
        <v>0</v>
      </c>
      <c r="AP23" s="46">
        <f>I23*(1-0.0632971185640057)</f>
        <v>0</v>
      </c>
      <c r="AQ23" s="1" t="s">
        <v>147</v>
      </c>
      <c r="AV23" s="46">
        <f>AW23+AX23</f>
        <v>0</v>
      </c>
      <c r="AW23" s="46">
        <f>H23*AO23</f>
        <v>0</v>
      </c>
      <c r="AX23" s="46">
        <f>H23*AP23</f>
        <v>0</v>
      </c>
      <c r="AY23" s="1" t="s">
        <v>229</v>
      </c>
      <c r="AZ23" s="1" t="s">
        <v>2</v>
      </c>
      <c r="BA23" s="50" t="s">
        <v>166</v>
      </c>
      <c r="BC23" s="46">
        <f>AW23+AX23</f>
        <v>0</v>
      </c>
      <c r="BD23" s="46">
        <f>I23/(100-BE23)*100</f>
        <v>0</v>
      </c>
      <c r="BE23" s="46">
        <v>0</v>
      </c>
      <c r="BF23" s="46">
        <f>23</f>
        <v>23</v>
      </c>
      <c r="BH23" s="46">
        <f>H23*AO23</f>
        <v>0</v>
      </c>
      <c r="BI23" s="46">
        <f>H23*AP23</f>
        <v>0</v>
      </c>
      <c r="BJ23" s="46">
        <f>H23*I23</f>
        <v>0</v>
      </c>
      <c r="BK23" s="46"/>
      <c r="BL23" s="46"/>
    </row>
    <row r="24" spans="1:13" ht="13.5" customHeight="1">
      <c r="A24" s="33"/>
      <c r="B24" s="11" t="s">
        <v>106</v>
      </c>
      <c r="C24" s="124" t="s">
        <v>127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1:64" ht="15" customHeight="1">
      <c r="A25" s="15" t="s">
        <v>170</v>
      </c>
      <c r="B25" s="3" t="s">
        <v>180</v>
      </c>
      <c r="C25" s="62" t="s">
        <v>116</v>
      </c>
      <c r="D25" s="62"/>
      <c r="E25" s="62"/>
      <c r="F25" s="62"/>
      <c r="G25" s="3" t="s">
        <v>53</v>
      </c>
      <c r="H25" s="46">
        <v>75</v>
      </c>
      <c r="I25" s="46">
        <v>0</v>
      </c>
      <c r="J25" s="46">
        <f>H25*AO25</f>
        <v>0</v>
      </c>
      <c r="K25" s="46">
        <f>H25*AP25</f>
        <v>0</v>
      </c>
      <c r="L25" s="46">
        <f>H25*I25</f>
        <v>0</v>
      </c>
      <c r="M25" s="43" t="s">
        <v>146</v>
      </c>
      <c r="Z25" s="46">
        <f>IF(AQ25="5",BJ25,0)</f>
        <v>0</v>
      </c>
      <c r="AB25" s="46">
        <f>IF(AQ25="1",BH25,0)</f>
        <v>0</v>
      </c>
      <c r="AC25" s="46">
        <f>IF(AQ25="1",BI25,0)</f>
        <v>0</v>
      </c>
      <c r="AD25" s="46">
        <f>IF(AQ25="7",BH25,0)</f>
        <v>0</v>
      </c>
      <c r="AE25" s="46">
        <f>IF(AQ25="7",BI25,0)</f>
        <v>0</v>
      </c>
      <c r="AF25" s="46">
        <f>IF(AQ25="2",BH25,0)</f>
        <v>0</v>
      </c>
      <c r="AG25" s="46">
        <f>IF(AQ25="2",BI25,0)</f>
        <v>0</v>
      </c>
      <c r="AH25" s="46">
        <f>IF(AQ25="0",BJ25,0)</f>
        <v>0</v>
      </c>
      <c r="AI25" s="50" t="s">
        <v>151</v>
      </c>
      <c r="AJ25" s="46">
        <f>IF(AN25=0,L25,0)</f>
        <v>0</v>
      </c>
      <c r="AK25" s="46">
        <f>IF(AN25=15,L25,0)</f>
        <v>0</v>
      </c>
      <c r="AL25" s="46">
        <f>IF(AN25=21,L25,0)</f>
        <v>0</v>
      </c>
      <c r="AN25" s="46">
        <v>21</v>
      </c>
      <c r="AO25" s="46">
        <f>I25*1</f>
        <v>0</v>
      </c>
      <c r="AP25" s="46">
        <f>I25*(1-1)</f>
        <v>0</v>
      </c>
      <c r="AQ25" s="1" t="s">
        <v>217</v>
      </c>
      <c r="AV25" s="46">
        <f>AW25+AX25</f>
        <v>0</v>
      </c>
      <c r="AW25" s="46">
        <f>H25*AO25</f>
        <v>0</v>
      </c>
      <c r="AX25" s="46">
        <f>H25*AP25</f>
        <v>0</v>
      </c>
      <c r="AY25" s="1" t="s">
        <v>229</v>
      </c>
      <c r="AZ25" s="1" t="s">
        <v>2</v>
      </c>
      <c r="BA25" s="50" t="s">
        <v>166</v>
      </c>
      <c r="BC25" s="46">
        <f>AW25+AX25</f>
        <v>0</v>
      </c>
      <c r="BD25" s="46">
        <f>I25/(100-BE25)*100</f>
        <v>0</v>
      </c>
      <c r="BE25" s="46">
        <v>0</v>
      </c>
      <c r="BF25" s="46">
        <f>25</f>
        <v>25</v>
      </c>
      <c r="BH25" s="46">
        <f>H25*AO25</f>
        <v>0</v>
      </c>
      <c r="BI25" s="46">
        <f>H25*AP25</f>
        <v>0</v>
      </c>
      <c r="BJ25" s="46">
        <f>H25*I25</f>
        <v>0</v>
      </c>
      <c r="BK25" s="46"/>
      <c r="BL25" s="46"/>
    </row>
    <row r="26" spans="1:64" ht="15" customHeight="1">
      <c r="A26" s="15" t="s">
        <v>81</v>
      </c>
      <c r="B26" s="3" t="s">
        <v>19</v>
      </c>
      <c r="C26" s="62" t="s">
        <v>199</v>
      </c>
      <c r="D26" s="62"/>
      <c r="E26" s="62"/>
      <c r="F26" s="62"/>
      <c r="G26" s="3" t="s">
        <v>53</v>
      </c>
      <c r="H26" s="46">
        <v>180</v>
      </c>
      <c r="I26" s="46">
        <v>0</v>
      </c>
      <c r="J26" s="46">
        <f>H26*AO26</f>
        <v>0</v>
      </c>
      <c r="K26" s="46">
        <f>H26*AP26</f>
        <v>0</v>
      </c>
      <c r="L26" s="46">
        <f>H26*I26</f>
        <v>0</v>
      </c>
      <c r="M26" s="43" t="s">
        <v>146</v>
      </c>
      <c r="Z26" s="46">
        <f>IF(AQ26="5",BJ26,0)</f>
        <v>0</v>
      </c>
      <c r="AB26" s="46">
        <f>IF(AQ26="1",BH26,0)</f>
        <v>0</v>
      </c>
      <c r="AC26" s="46">
        <f>IF(AQ26="1",BI26,0)</f>
        <v>0</v>
      </c>
      <c r="AD26" s="46">
        <f>IF(AQ26="7",BH26,0)</f>
        <v>0</v>
      </c>
      <c r="AE26" s="46">
        <f>IF(AQ26="7",BI26,0)</f>
        <v>0</v>
      </c>
      <c r="AF26" s="46">
        <f>IF(AQ26="2",BH26,0)</f>
        <v>0</v>
      </c>
      <c r="AG26" s="46">
        <f>IF(AQ26="2",BI26,0)</f>
        <v>0</v>
      </c>
      <c r="AH26" s="46">
        <f>IF(AQ26="0",BJ26,0)</f>
        <v>0</v>
      </c>
      <c r="AI26" s="50" t="s">
        <v>151</v>
      </c>
      <c r="AJ26" s="46">
        <f>IF(AN26=0,L26,0)</f>
        <v>0</v>
      </c>
      <c r="AK26" s="46">
        <f>IF(AN26=15,L26,0)</f>
        <v>0</v>
      </c>
      <c r="AL26" s="46">
        <f>IF(AN26=21,L26,0)</f>
        <v>0</v>
      </c>
      <c r="AN26" s="46">
        <v>21</v>
      </c>
      <c r="AO26" s="46">
        <f>I26*1</f>
        <v>0</v>
      </c>
      <c r="AP26" s="46">
        <f>I26*(1-1)</f>
        <v>0</v>
      </c>
      <c r="AQ26" s="1" t="s">
        <v>217</v>
      </c>
      <c r="AV26" s="46">
        <f>AW26+AX26</f>
        <v>0</v>
      </c>
      <c r="AW26" s="46">
        <f>H26*AO26</f>
        <v>0</v>
      </c>
      <c r="AX26" s="46">
        <f>H26*AP26</f>
        <v>0</v>
      </c>
      <c r="AY26" s="1" t="s">
        <v>229</v>
      </c>
      <c r="AZ26" s="1" t="s">
        <v>2</v>
      </c>
      <c r="BA26" s="50" t="s">
        <v>166</v>
      </c>
      <c r="BC26" s="46">
        <f>AW26+AX26</f>
        <v>0</v>
      </c>
      <c r="BD26" s="46">
        <f>I26/(100-BE26)*100</f>
        <v>0</v>
      </c>
      <c r="BE26" s="46">
        <v>0</v>
      </c>
      <c r="BF26" s="46">
        <f>26</f>
        <v>26</v>
      </c>
      <c r="BH26" s="46">
        <f>H26*AO26</f>
        <v>0</v>
      </c>
      <c r="BI26" s="46">
        <f>H26*AP26</f>
        <v>0</v>
      </c>
      <c r="BJ26" s="46">
        <f>H26*I26</f>
        <v>0</v>
      </c>
      <c r="BK26" s="46"/>
      <c r="BL26" s="46"/>
    </row>
    <row r="27" spans="1:64" ht="15" customHeight="1">
      <c r="A27" s="15" t="s">
        <v>119</v>
      </c>
      <c r="B27" s="3" t="s">
        <v>91</v>
      </c>
      <c r="C27" s="62" t="s">
        <v>182</v>
      </c>
      <c r="D27" s="62"/>
      <c r="E27" s="62"/>
      <c r="F27" s="62"/>
      <c r="G27" s="3" t="s">
        <v>53</v>
      </c>
      <c r="H27" s="46">
        <v>25</v>
      </c>
      <c r="I27" s="46">
        <v>0</v>
      </c>
      <c r="J27" s="46">
        <f>H27*AO27</f>
        <v>0</v>
      </c>
      <c r="K27" s="46">
        <f>H27*AP27</f>
        <v>0</v>
      </c>
      <c r="L27" s="46">
        <f>H27*I27</f>
        <v>0</v>
      </c>
      <c r="M27" s="43" t="s">
        <v>146</v>
      </c>
      <c r="Z27" s="46">
        <f>IF(AQ27="5",BJ27,0)</f>
        <v>0</v>
      </c>
      <c r="AB27" s="46">
        <f>IF(AQ27="1",BH27,0)</f>
        <v>0</v>
      </c>
      <c r="AC27" s="46">
        <f>IF(AQ27="1",BI27,0)</f>
        <v>0</v>
      </c>
      <c r="AD27" s="46">
        <f>IF(AQ27="7",BH27,0)</f>
        <v>0</v>
      </c>
      <c r="AE27" s="46">
        <f>IF(AQ27="7",BI27,0)</f>
        <v>0</v>
      </c>
      <c r="AF27" s="46">
        <f>IF(AQ27="2",BH27,0)</f>
        <v>0</v>
      </c>
      <c r="AG27" s="46">
        <f>IF(AQ27="2",BI27,0)</f>
        <v>0</v>
      </c>
      <c r="AH27" s="46">
        <f>IF(AQ27="0",BJ27,0)</f>
        <v>0</v>
      </c>
      <c r="AI27" s="50" t="s">
        <v>151</v>
      </c>
      <c r="AJ27" s="46">
        <f>IF(AN27=0,L27,0)</f>
        <v>0</v>
      </c>
      <c r="AK27" s="46">
        <f>IF(AN27=15,L27,0)</f>
        <v>0</v>
      </c>
      <c r="AL27" s="46">
        <f>IF(AN27=21,L27,0)</f>
        <v>0</v>
      </c>
      <c r="AN27" s="46">
        <v>21</v>
      </c>
      <c r="AO27" s="46">
        <f>I27*1</f>
        <v>0</v>
      </c>
      <c r="AP27" s="46">
        <f>I27*(1-1)</f>
        <v>0</v>
      </c>
      <c r="AQ27" s="1" t="s">
        <v>217</v>
      </c>
      <c r="AV27" s="46">
        <f>AW27+AX27</f>
        <v>0</v>
      </c>
      <c r="AW27" s="46">
        <f>H27*AO27</f>
        <v>0</v>
      </c>
      <c r="AX27" s="46">
        <f>H27*AP27</f>
        <v>0</v>
      </c>
      <c r="AY27" s="1" t="s">
        <v>229</v>
      </c>
      <c r="AZ27" s="1" t="s">
        <v>2</v>
      </c>
      <c r="BA27" s="50" t="s">
        <v>166</v>
      </c>
      <c r="BC27" s="46">
        <f>AW27+AX27</f>
        <v>0</v>
      </c>
      <c r="BD27" s="46">
        <f>I27/(100-BE27)*100</f>
        <v>0</v>
      </c>
      <c r="BE27" s="46">
        <v>0</v>
      </c>
      <c r="BF27" s="46">
        <f>27</f>
        <v>27</v>
      </c>
      <c r="BH27" s="46">
        <f>H27*AO27</f>
        <v>0</v>
      </c>
      <c r="BI27" s="46">
        <f>H27*AP27</f>
        <v>0</v>
      </c>
      <c r="BJ27" s="46">
        <f>H27*I27</f>
        <v>0</v>
      </c>
      <c r="BK27" s="46"/>
      <c r="BL27" s="46"/>
    </row>
    <row r="28" spans="1:13" ht="13.5" customHeight="1">
      <c r="A28" s="33"/>
      <c r="B28" s="11" t="s">
        <v>76</v>
      </c>
      <c r="C28" s="124" t="s">
        <v>88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1:64" ht="15" customHeight="1">
      <c r="A29" s="15" t="s">
        <v>181</v>
      </c>
      <c r="B29" s="3" t="s">
        <v>27</v>
      </c>
      <c r="C29" s="62" t="s">
        <v>33</v>
      </c>
      <c r="D29" s="62"/>
      <c r="E29" s="62"/>
      <c r="F29" s="62"/>
      <c r="G29" s="3" t="s">
        <v>53</v>
      </c>
      <c r="H29" s="46">
        <v>2</v>
      </c>
      <c r="I29" s="46">
        <v>0</v>
      </c>
      <c r="J29" s="46">
        <f>H29*AO29</f>
        <v>0</v>
      </c>
      <c r="K29" s="46">
        <f>H29*AP29</f>
        <v>0</v>
      </c>
      <c r="L29" s="46">
        <f>H29*I29</f>
        <v>0</v>
      </c>
      <c r="M29" s="43" t="s">
        <v>146</v>
      </c>
      <c r="Z29" s="46">
        <f>IF(AQ29="5",BJ29,0)</f>
        <v>0</v>
      </c>
      <c r="AB29" s="46">
        <f>IF(AQ29="1",BH29,0)</f>
        <v>0</v>
      </c>
      <c r="AC29" s="46">
        <f>IF(AQ29="1",BI29,0)</f>
        <v>0</v>
      </c>
      <c r="AD29" s="46">
        <f>IF(AQ29="7",BH29,0)</f>
        <v>0</v>
      </c>
      <c r="AE29" s="46">
        <f>IF(AQ29="7",BI29,0)</f>
        <v>0</v>
      </c>
      <c r="AF29" s="46">
        <f>IF(AQ29="2",BH29,0)</f>
        <v>0</v>
      </c>
      <c r="AG29" s="46">
        <f>IF(AQ29="2",BI29,0)</f>
        <v>0</v>
      </c>
      <c r="AH29" s="46">
        <f>IF(AQ29="0",BJ29,0)</f>
        <v>0</v>
      </c>
      <c r="AI29" s="50" t="s">
        <v>151</v>
      </c>
      <c r="AJ29" s="46">
        <f>IF(AN29=0,L29,0)</f>
        <v>0</v>
      </c>
      <c r="AK29" s="46">
        <f>IF(AN29=15,L29,0)</f>
        <v>0</v>
      </c>
      <c r="AL29" s="46">
        <f>IF(AN29=21,L29,0)</f>
        <v>0</v>
      </c>
      <c r="AN29" s="46">
        <v>21</v>
      </c>
      <c r="AO29" s="46">
        <f>I29*1</f>
        <v>0</v>
      </c>
      <c r="AP29" s="46">
        <f>I29*(1-1)</f>
        <v>0</v>
      </c>
      <c r="AQ29" s="1" t="s">
        <v>217</v>
      </c>
      <c r="AV29" s="46">
        <f>AW29+AX29</f>
        <v>0</v>
      </c>
      <c r="AW29" s="46">
        <f>H29*AO29</f>
        <v>0</v>
      </c>
      <c r="AX29" s="46">
        <f>H29*AP29</f>
        <v>0</v>
      </c>
      <c r="AY29" s="1" t="s">
        <v>229</v>
      </c>
      <c r="AZ29" s="1" t="s">
        <v>2</v>
      </c>
      <c r="BA29" s="50" t="s">
        <v>166</v>
      </c>
      <c r="BC29" s="46">
        <f>AW29+AX29</f>
        <v>0</v>
      </c>
      <c r="BD29" s="46">
        <f>I29/(100-BE29)*100</f>
        <v>0</v>
      </c>
      <c r="BE29" s="46">
        <v>0</v>
      </c>
      <c r="BF29" s="46">
        <f>29</f>
        <v>29</v>
      </c>
      <c r="BH29" s="46">
        <f>H29*AO29</f>
        <v>0</v>
      </c>
      <c r="BI29" s="46">
        <f>H29*AP29</f>
        <v>0</v>
      </c>
      <c r="BJ29" s="46">
        <f>H29*I29</f>
        <v>0</v>
      </c>
      <c r="BK29" s="46"/>
      <c r="BL29" s="46"/>
    </row>
    <row r="30" spans="1:13" ht="81" customHeight="1">
      <c r="A30" s="33"/>
      <c r="B30" s="11" t="s">
        <v>76</v>
      </c>
      <c r="C30" s="124" t="s">
        <v>190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1:64" ht="15" customHeight="1">
      <c r="A31" s="15" t="s">
        <v>159</v>
      </c>
      <c r="B31" s="3" t="s">
        <v>47</v>
      </c>
      <c r="C31" s="62" t="s">
        <v>208</v>
      </c>
      <c r="D31" s="62"/>
      <c r="E31" s="62"/>
      <c r="F31" s="62"/>
      <c r="G31" s="3" t="s">
        <v>153</v>
      </c>
      <c r="H31" s="46">
        <v>2</v>
      </c>
      <c r="I31" s="46">
        <v>0</v>
      </c>
      <c r="J31" s="46">
        <f>H31*AO31</f>
        <v>0</v>
      </c>
      <c r="K31" s="46">
        <f>H31*AP31</f>
        <v>0</v>
      </c>
      <c r="L31" s="46">
        <f>H31*I31</f>
        <v>0</v>
      </c>
      <c r="M31" s="43" t="s">
        <v>151</v>
      </c>
      <c r="Z31" s="46">
        <f>IF(AQ31="5",BJ31,0)</f>
        <v>0</v>
      </c>
      <c r="AB31" s="46">
        <f>IF(AQ31="1",BH31,0)</f>
        <v>0</v>
      </c>
      <c r="AC31" s="46">
        <f>IF(AQ31="1",BI31,0)</f>
        <v>0</v>
      </c>
      <c r="AD31" s="46">
        <f>IF(AQ31="7",BH31,0)</f>
        <v>0</v>
      </c>
      <c r="AE31" s="46">
        <f>IF(AQ31="7",BI31,0)</f>
        <v>0</v>
      </c>
      <c r="AF31" s="46">
        <f>IF(AQ31="2",BH31,0)</f>
        <v>0</v>
      </c>
      <c r="AG31" s="46">
        <f>IF(AQ31="2",BI31,0)</f>
        <v>0</v>
      </c>
      <c r="AH31" s="46">
        <f>IF(AQ31="0",BJ31,0)</f>
        <v>0</v>
      </c>
      <c r="AI31" s="50" t="s">
        <v>151</v>
      </c>
      <c r="AJ31" s="46">
        <f>IF(AN31=0,L31,0)</f>
        <v>0</v>
      </c>
      <c r="AK31" s="46">
        <f>IF(AN31=15,L31,0)</f>
        <v>0</v>
      </c>
      <c r="AL31" s="46">
        <f>IF(AN31=21,L31,0)</f>
        <v>0</v>
      </c>
      <c r="AN31" s="46">
        <v>21</v>
      </c>
      <c r="AO31" s="46">
        <f>I31*1</f>
        <v>0</v>
      </c>
      <c r="AP31" s="46">
        <f>I31*(1-1)</f>
        <v>0</v>
      </c>
      <c r="AQ31" s="1" t="s">
        <v>217</v>
      </c>
      <c r="AV31" s="46">
        <f>AW31+AX31</f>
        <v>0</v>
      </c>
      <c r="AW31" s="46">
        <f>H31*AO31</f>
        <v>0</v>
      </c>
      <c r="AX31" s="46">
        <f>H31*AP31</f>
        <v>0</v>
      </c>
      <c r="AY31" s="1" t="s">
        <v>229</v>
      </c>
      <c r="AZ31" s="1" t="s">
        <v>2</v>
      </c>
      <c r="BA31" s="50" t="s">
        <v>166</v>
      </c>
      <c r="BC31" s="46">
        <f>AW31+AX31</f>
        <v>0</v>
      </c>
      <c r="BD31" s="46">
        <f>I31/(100-BE31)*100</f>
        <v>0</v>
      </c>
      <c r="BE31" s="46">
        <v>0</v>
      </c>
      <c r="BF31" s="46">
        <f>31</f>
        <v>31</v>
      </c>
      <c r="BH31" s="46">
        <f>H31*AO31</f>
        <v>0</v>
      </c>
      <c r="BI31" s="46">
        <f>H31*AP31</f>
        <v>0</v>
      </c>
      <c r="BJ31" s="46">
        <f>H31*I31</f>
        <v>0</v>
      </c>
      <c r="BK31" s="46"/>
      <c r="BL31" s="46"/>
    </row>
    <row r="32" spans="1:64" ht="15" customHeight="1">
      <c r="A32" s="15" t="s">
        <v>62</v>
      </c>
      <c r="B32" s="3" t="s">
        <v>220</v>
      </c>
      <c r="C32" s="62" t="s">
        <v>72</v>
      </c>
      <c r="D32" s="62"/>
      <c r="E32" s="62"/>
      <c r="F32" s="62"/>
      <c r="G32" s="3" t="s">
        <v>153</v>
      </c>
      <c r="H32" s="46">
        <v>8</v>
      </c>
      <c r="I32" s="46">
        <v>0</v>
      </c>
      <c r="J32" s="46">
        <f>H32*AO32</f>
        <v>0</v>
      </c>
      <c r="K32" s="46">
        <f>H32*AP32</f>
        <v>0</v>
      </c>
      <c r="L32" s="46">
        <f>H32*I32</f>
        <v>0</v>
      </c>
      <c r="M32" s="43" t="s">
        <v>151</v>
      </c>
      <c r="Z32" s="46">
        <f>IF(AQ32="5",BJ32,0)</f>
        <v>0</v>
      </c>
      <c r="AB32" s="46">
        <f>IF(AQ32="1",BH32,0)</f>
        <v>0</v>
      </c>
      <c r="AC32" s="46">
        <f>IF(AQ32="1",BI32,0)</f>
        <v>0</v>
      </c>
      <c r="AD32" s="46">
        <f>IF(AQ32="7",BH32,0)</f>
        <v>0</v>
      </c>
      <c r="AE32" s="46">
        <f>IF(AQ32="7",BI32,0)</f>
        <v>0</v>
      </c>
      <c r="AF32" s="46">
        <f>IF(AQ32="2",BH32,0)</f>
        <v>0</v>
      </c>
      <c r="AG32" s="46">
        <f>IF(AQ32="2",BI32,0)</f>
        <v>0</v>
      </c>
      <c r="AH32" s="46">
        <f>IF(AQ32="0",BJ32,0)</f>
        <v>0</v>
      </c>
      <c r="AI32" s="50" t="s">
        <v>151</v>
      </c>
      <c r="AJ32" s="46">
        <f>IF(AN32=0,L32,0)</f>
        <v>0</v>
      </c>
      <c r="AK32" s="46">
        <f>IF(AN32=15,L32,0)</f>
        <v>0</v>
      </c>
      <c r="AL32" s="46">
        <f>IF(AN32=21,L32,0)</f>
        <v>0</v>
      </c>
      <c r="AN32" s="46">
        <v>21</v>
      </c>
      <c r="AO32" s="46">
        <f>I32*1</f>
        <v>0</v>
      </c>
      <c r="AP32" s="46">
        <f>I32*(1-1)</f>
        <v>0</v>
      </c>
      <c r="AQ32" s="1" t="s">
        <v>217</v>
      </c>
      <c r="AV32" s="46">
        <f>AW32+AX32</f>
        <v>0</v>
      </c>
      <c r="AW32" s="46">
        <f>H32*AO32</f>
        <v>0</v>
      </c>
      <c r="AX32" s="46">
        <f>H32*AP32</f>
        <v>0</v>
      </c>
      <c r="AY32" s="1" t="s">
        <v>229</v>
      </c>
      <c r="AZ32" s="1" t="s">
        <v>2</v>
      </c>
      <c r="BA32" s="50" t="s">
        <v>166</v>
      </c>
      <c r="BC32" s="46">
        <f>AW32+AX32</f>
        <v>0</v>
      </c>
      <c r="BD32" s="46">
        <f>I32/(100-BE32)*100</f>
        <v>0</v>
      </c>
      <c r="BE32" s="46">
        <v>0</v>
      </c>
      <c r="BF32" s="46">
        <f>32</f>
        <v>32</v>
      </c>
      <c r="BH32" s="46">
        <f>H32*AO32</f>
        <v>0</v>
      </c>
      <c r="BI32" s="46">
        <f>H32*AP32</f>
        <v>0</v>
      </c>
      <c r="BJ32" s="46">
        <f>H32*I32</f>
        <v>0</v>
      </c>
      <c r="BK32" s="46"/>
      <c r="BL32" s="46"/>
    </row>
    <row r="33" spans="1:64" ht="15" customHeight="1">
      <c r="A33" s="15" t="s">
        <v>121</v>
      </c>
      <c r="B33" s="3" t="s">
        <v>66</v>
      </c>
      <c r="C33" s="62" t="s">
        <v>207</v>
      </c>
      <c r="D33" s="62"/>
      <c r="E33" s="62"/>
      <c r="F33" s="62"/>
      <c r="G33" s="3" t="s">
        <v>153</v>
      </c>
      <c r="H33" s="46">
        <v>62</v>
      </c>
      <c r="I33" s="46">
        <v>0</v>
      </c>
      <c r="J33" s="46">
        <f>H33*AO33</f>
        <v>0</v>
      </c>
      <c r="K33" s="46">
        <f>H33*AP33</f>
        <v>0</v>
      </c>
      <c r="L33" s="46">
        <f>H33*I33</f>
        <v>0</v>
      </c>
      <c r="M33" s="43" t="s">
        <v>151</v>
      </c>
      <c r="Z33" s="46">
        <f>IF(AQ33="5",BJ33,0)</f>
        <v>0</v>
      </c>
      <c r="AB33" s="46">
        <f>IF(AQ33="1",BH33,0)</f>
        <v>0</v>
      </c>
      <c r="AC33" s="46">
        <f>IF(AQ33="1",BI33,0)</f>
        <v>0</v>
      </c>
      <c r="AD33" s="46">
        <f>IF(AQ33="7",BH33,0)</f>
        <v>0</v>
      </c>
      <c r="AE33" s="46">
        <f>IF(AQ33="7",BI33,0)</f>
        <v>0</v>
      </c>
      <c r="AF33" s="46">
        <f>IF(AQ33="2",BH33,0)</f>
        <v>0</v>
      </c>
      <c r="AG33" s="46">
        <f>IF(AQ33="2",BI33,0)</f>
        <v>0</v>
      </c>
      <c r="AH33" s="46">
        <f>IF(AQ33="0",BJ33,0)</f>
        <v>0</v>
      </c>
      <c r="AI33" s="50" t="s">
        <v>151</v>
      </c>
      <c r="AJ33" s="46">
        <f>IF(AN33=0,L33,0)</f>
        <v>0</v>
      </c>
      <c r="AK33" s="46">
        <f>IF(AN33=15,L33,0)</f>
        <v>0</v>
      </c>
      <c r="AL33" s="46">
        <f>IF(AN33=21,L33,0)</f>
        <v>0</v>
      </c>
      <c r="AN33" s="46">
        <v>21</v>
      </c>
      <c r="AO33" s="46">
        <f>I33*1</f>
        <v>0</v>
      </c>
      <c r="AP33" s="46">
        <f>I33*(1-1)</f>
        <v>0</v>
      </c>
      <c r="AQ33" s="1" t="s">
        <v>217</v>
      </c>
      <c r="AV33" s="46">
        <f>AW33+AX33</f>
        <v>0</v>
      </c>
      <c r="AW33" s="46">
        <f>H33*AO33</f>
        <v>0</v>
      </c>
      <c r="AX33" s="46">
        <f>H33*AP33</f>
        <v>0</v>
      </c>
      <c r="AY33" s="1" t="s">
        <v>229</v>
      </c>
      <c r="AZ33" s="1" t="s">
        <v>2</v>
      </c>
      <c r="BA33" s="50" t="s">
        <v>166</v>
      </c>
      <c r="BC33" s="46">
        <f>AW33+AX33</f>
        <v>0</v>
      </c>
      <c r="BD33" s="46">
        <f>I33/(100-BE33)*100</f>
        <v>0</v>
      </c>
      <c r="BE33" s="46">
        <v>0</v>
      </c>
      <c r="BF33" s="46">
        <f>33</f>
        <v>33</v>
      </c>
      <c r="BH33" s="46">
        <f>H33*AO33</f>
        <v>0</v>
      </c>
      <c r="BI33" s="46">
        <f>H33*AP33</f>
        <v>0</v>
      </c>
      <c r="BJ33" s="46">
        <f>H33*I33</f>
        <v>0</v>
      </c>
      <c r="BK33" s="46"/>
      <c r="BL33" s="46"/>
    </row>
    <row r="34" spans="1:64" ht="15" customHeight="1">
      <c r="A34" s="15" t="s">
        <v>83</v>
      </c>
      <c r="B34" s="3" t="s">
        <v>244</v>
      </c>
      <c r="C34" s="62" t="s">
        <v>160</v>
      </c>
      <c r="D34" s="62"/>
      <c r="E34" s="62"/>
      <c r="F34" s="62"/>
      <c r="G34" s="3" t="s">
        <v>53</v>
      </c>
      <c r="H34" s="46">
        <v>27</v>
      </c>
      <c r="I34" s="46">
        <v>0</v>
      </c>
      <c r="J34" s="46">
        <f>H34*AO34</f>
        <v>0</v>
      </c>
      <c r="K34" s="46">
        <f>H34*AP34</f>
        <v>0</v>
      </c>
      <c r="L34" s="46">
        <f>H34*I34</f>
        <v>0</v>
      </c>
      <c r="M34" s="43" t="s">
        <v>146</v>
      </c>
      <c r="Z34" s="46">
        <f>IF(AQ34="5",BJ34,0)</f>
        <v>0</v>
      </c>
      <c r="AB34" s="46">
        <f>IF(AQ34="1",BH34,0)</f>
        <v>0</v>
      </c>
      <c r="AC34" s="46">
        <f>IF(AQ34="1",BI34,0)</f>
        <v>0</v>
      </c>
      <c r="AD34" s="46">
        <f>IF(AQ34="7",BH34,0)</f>
        <v>0</v>
      </c>
      <c r="AE34" s="46">
        <f>IF(AQ34="7",BI34,0)</f>
        <v>0</v>
      </c>
      <c r="AF34" s="46">
        <f>IF(AQ34="2",BH34,0)</f>
        <v>0</v>
      </c>
      <c r="AG34" s="46">
        <f>IF(AQ34="2",BI34,0)</f>
        <v>0</v>
      </c>
      <c r="AH34" s="46">
        <f>IF(AQ34="0",BJ34,0)</f>
        <v>0</v>
      </c>
      <c r="AI34" s="50" t="s">
        <v>151</v>
      </c>
      <c r="AJ34" s="46">
        <f>IF(AN34=0,L34,0)</f>
        <v>0</v>
      </c>
      <c r="AK34" s="46">
        <f>IF(AN34=15,L34,0)</f>
        <v>0</v>
      </c>
      <c r="AL34" s="46">
        <f>IF(AN34=21,L34,0)</f>
        <v>0</v>
      </c>
      <c r="AN34" s="46">
        <v>21</v>
      </c>
      <c r="AO34" s="46">
        <f>I34*0</f>
        <v>0</v>
      </c>
      <c r="AP34" s="46">
        <f>I34*(1-0)</f>
        <v>0</v>
      </c>
      <c r="AQ34" s="1" t="s">
        <v>147</v>
      </c>
      <c r="AV34" s="46">
        <f>AW34+AX34</f>
        <v>0</v>
      </c>
      <c r="AW34" s="46">
        <f>H34*AO34</f>
        <v>0</v>
      </c>
      <c r="AX34" s="46">
        <f>H34*AP34</f>
        <v>0</v>
      </c>
      <c r="AY34" s="1" t="s">
        <v>229</v>
      </c>
      <c r="AZ34" s="1" t="s">
        <v>2</v>
      </c>
      <c r="BA34" s="50" t="s">
        <v>166</v>
      </c>
      <c r="BC34" s="46">
        <f>AW34+AX34</f>
        <v>0</v>
      </c>
      <c r="BD34" s="46">
        <f>I34/(100-BE34)*100</f>
        <v>0</v>
      </c>
      <c r="BE34" s="46">
        <v>0</v>
      </c>
      <c r="BF34" s="46">
        <f>34</f>
        <v>34</v>
      </c>
      <c r="BH34" s="46">
        <f>H34*AO34</f>
        <v>0</v>
      </c>
      <c r="BI34" s="46">
        <f>H34*AP34</f>
        <v>0</v>
      </c>
      <c r="BJ34" s="46">
        <f>H34*I34</f>
        <v>0</v>
      </c>
      <c r="BK34" s="46"/>
      <c r="BL34" s="46"/>
    </row>
    <row r="35" spans="1:64" ht="15" customHeight="1">
      <c r="A35" s="15" t="s">
        <v>17</v>
      </c>
      <c r="B35" s="3" t="s">
        <v>228</v>
      </c>
      <c r="C35" s="62" t="s">
        <v>138</v>
      </c>
      <c r="D35" s="62"/>
      <c r="E35" s="62"/>
      <c r="F35" s="62"/>
      <c r="G35" s="3" t="s">
        <v>53</v>
      </c>
      <c r="H35" s="46">
        <v>54</v>
      </c>
      <c r="I35" s="46">
        <v>0</v>
      </c>
      <c r="J35" s="46">
        <f>H35*AO35</f>
        <v>0</v>
      </c>
      <c r="K35" s="46">
        <f>H35*AP35</f>
        <v>0</v>
      </c>
      <c r="L35" s="46">
        <f>H35*I35</f>
        <v>0</v>
      </c>
      <c r="M35" s="43" t="s">
        <v>146</v>
      </c>
      <c r="Z35" s="46">
        <f>IF(AQ35="5",BJ35,0)</f>
        <v>0</v>
      </c>
      <c r="AB35" s="46">
        <f>IF(AQ35="1",BH35,0)</f>
        <v>0</v>
      </c>
      <c r="AC35" s="46">
        <f>IF(AQ35="1",BI35,0)</f>
        <v>0</v>
      </c>
      <c r="AD35" s="46">
        <f>IF(AQ35="7",BH35,0)</f>
        <v>0</v>
      </c>
      <c r="AE35" s="46">
        <f>IF(AQ35="7",BI35,0)</f>
        <v>0</v>
      </c>
      <c r="AF35" s="46">
        <f>IF(AQ35="2",BH35,0)</f>
        <v>0</v>
      </c>
      <c r="AG35" s="46">
        <f>IF(AQ35="2",BI35,0)</f>
        <v>0</v>
      </c>
      <c r="AH35" s="46">
        <f>IF(AQ35="0",BJ35,0)</f>
        <v>0</v>
      </c>
      <c r="AI35" s="50" t="s">
        <v>151</v>
      </c>
      <c r="AJ35" s="46">
        <f>IF(AN35=0,L35,0)</f>
        <v>0</v>
      </c>
      <c r="AK35" s="46">
        <f>IF(AN35=15,L35,0)</f>
        <v>0</v>
      </c>
      <c r="AL35" s="46">
        <f>IF(AN35=21,L35,0)</f>
        <v>0</v>
      </c>
      <c r="AN35" s="46">
        <v>21</v>
      </c>
      <c r="AO35" s="46">
        <f>I35*0.241749502982107</f>
        <v>0</v>
      </c>
      <c r="AP35" s="46">
        <f>I35*(1-0.241749502982107)</f>
        <v>0</v>
      </c>
      <c r="AQ35" s="1" t="s">
        <v>147</v>
      </c>
      <c r="AV35" s="46">
        <f>AW35+AX35</f>
        <v>0</v>
      </c>
      <c r="AW35" s="46">
        <f>H35*AO35</f>
        <v>0</v>
      </c>
      <c r="AX35" s="46">
        <f>H35*AP35</f>
        <v>0</v>
      </c>
      <c r="AY35" s="1" t="s">
        <v>229</v>
      </c>
      <c r="AZ35" s="1" t="s">
        <v>2</v>
      </c>
      <c r="BA35" s="50" t="s">
        <v>166</v>
      </c>
      <c r="BC35" s="46">
        <f>AW35+AX35</f>
        <v>0</v>
      </c>
      <c r="BD35" s="46">
        <f>I35/(100-BE35)*100</f>
        <v>0</v>
      </c>
      <c r="BE35" s="46">
        <v>0</v>
      </c>
      <c r="BF35" s="46">
        <f>35</f>
        <v>35</v>
      </c>
      <c r="BH35" s="46">
        <f>H35*AO35</f>
        <v>0</v>
      </c>
      <c r="BI35" s="46">
        <f>H35*AP35</f>
        <v>0</v>
      </c>
      <c r="BJ35" s="46">
        <f>H35*I35</f>
        <v>0</v>
      </c>
      <c r="BK35" s="46"/>
      <c r="BL35" s="46"/>
    </row>
    <row r="36" spans="1:13" ht="13.5" customHeight="1">
      <c r="A36" s="33"/>
      <c r="B36" s="11" t="s">
        <v>106</v>
      </c>
      <c r="C36" s="124" t="s">
        <v>36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6"/>
    </row>
    <row r="37" spans="1:64" ht="15" customHeight="1">
      <c r="A37" s="15" t="s">
        <v>152</v>
      </c>
      <c r="B37" s="3" t="s">
        <v>131</v>
      </c>
      <c r="C37" s="62" t="s">
        <v>114</v>
      </c>
      <c r="D37" s="62"/>
      <c r="E37" s="62"/>
      <c r="F37" s="62"/>
      <c r="G37" s="3" t="s">
        <v>53</v>
      </c>
      <c r="H37" s="46">
        <v>12</v>
      </c>
      <c r="I37" s="46">
        <v>0</v>
      </c>
      <c r="J37" s="46">
        <f>H37*AO37</f>
        <v>0</v>
      </c>
      <c r="K37" s="46">
        <f>H37*AP37</f>
        <v>0</v>
      </c>
      <c r="L37" s="46">
        <f>H37*I37</f>
        <v>0</v>
      </c>
      <c r="M37" s="43" t="s">
        <v>146</v>
      </c>
      <c r="Z37" s="46">
        <f>IF(AQ37="5",BJ37,0)</f>
        <v>0</v>
      </c>
      <c r="AB37" s="46">
        <f>IF(AQ37="1",BH37,0)</f>
        <v>0</v>
      </c>
      <c r="AC37" s="46">
        <f>IF(AQ37="1",BI37,0)</f>
        <v>0</v>
      </c>
      <c r="AD37" s="46">
        <f>IF(AQ37="7",BH37,0)</f>
        <v>0</v>
      </c>
      <c r="AE37" s="46">
        <f>IF(AQ37="7",BI37,0)</f>
        <v>0</v>
      </c>
      <c r="AF37" s="46">
        <f>IF(AQ37="2",BH37,0)</f>
        <v>0</v>
      </c>
      <c r="AG37" s="46">
        <f>IF(AQ37="2",BI37,0)</f>
        <v>0</v>
      </c>
      <c r="AH37" s="46">
        <f>IF(AQ37="0",BJ37,0)</f>
        <v>0</v>
      </c>
      <c r="AI37" s="50" t="s">
        <v>151</v>
      </c>
      <c r="AJ37" s="46">
        <f>IF(AN37=0,L37,0)</f>
        <v>0</v>
      </c>
      <c r="AK37" s="46">
        <f>IF(AN37=15,L37,0)</f>
        <v>0</v>
      </c>
      <c r="AL37" s="46">
        <f>IF(AN37=21,L37,0)</f>
        <v>0</v>
      </c>
      <c r="AN37" s="46">
        <v>21</v>
      </c>
      <c r="AO37" s="46">
        <f>I37*0.122234414086365</f>
        <v>0</v>
      </c>
      <c r="AP37" s="46">
        <f>I37*(1-0.122234414086365)</f>
        <v>0</v>
      </c>
      <c r="AQ37" s="1" t="s">
        <v>217</v>
      </c>
      <c r="AV37" s="46">
        <f>AW37+AX37</f>
        <v>0</v>
      </c>
      <c r="AW37" s="46">
        <f>H37*AO37</f>
        <v>0</v>
      </c>
      <c r="AX37" s="46">
        <f>H37*AP37</f>
        <v>0</v>
      </c>
      <c r="AY37" s="1" t="s">
        <v>229</v>
      </c>
      <c r="AZ37" s="1" t="s">
        <v>2</v>
      </c>
      <c r="BA37" s="50" t="s">
        <v>166</v>
      </c>
      <c r="BC37" s="46">
        <f>AW37+AX37</f>
        <v>0</v>
      </c>
      <c r="BD37" s="46">
        <f>I37/(100-BE37)*100</f>
        <v>0</v>
      </c>
      <c r="BE37" s="46">
        <v>0</v>
      </c>
      <c r="BF37" s="46">
        <f>37</f>
        <v>37</v>
      </c>
      <c r="BH37" s="46">
        <f>H37*AO37</f>
        <v>0</v>
      </c>
      <c r="BI37" s="46">
        <f>H37*AP37</f>
        <v>0</v>
      </c>
      <c r="BJ37" s="46">
        <f>H37*I37</f>
        <v>0</v>
      </c>
      <c r="BK37" s="46"/>
      <c r="BL37" s="46"/>
    </row>
    <row r="38" spans="1:13" ht="13.5" customHeight="1">
      <c r="A38" s="33"/>
      <c r="B38" s="11" t="s">
        <v>76</v>
      </c>
      <c r="C38" s="124" t="s">
        <v>237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1:47" ht="15" customHeight="1">
      <c r="A39" s="52" t="s">
        <v>151</v>
      </c>
      <c r="B39" s="54" t="s">
        <v>3</v>
      </c>
      <c r="C39" s="123" t="s">
        <v>61</v>
      </c>
      <c r="D39" s="123"/>
      <c r="E39" s="123"/>
      <c r="F39" s="123"/>
      <c r="G39" s="49" t="s">
        <v>201</v>
      </c>
      <c r="H39" s="49" t="s">
        <v>201</v>
      </c>
      <c r="I39" s="49" t="s">
        <v>201</v>
      </c>
      <c r="J39" s="6">
        <f>SUM(J40:J54)</f>
        <v>0</v>
      </c>
      <c r="K39" s="6">
        <f>SUM(K40:K54)</f>
        <v>0</v>
      </c>
      <c r="L39" s="6">
        <f>SUM(L40:L54)</f>
        <v>0</v>
      </c>
      <c r="M39" s="13" t="s">
        <v>151</v>
      </c>
      <c r="AI39" s="50" t="s">
        <v>151</v>
      </c>
      <c r="AS39" s="6">
        <f>SUM(AJ40:AJ54)</f>
        <v>0</v>
      </c>
      <c r="AT39" s="6">
        <f>SUM(AK40:AK54)</f>
        <v>0</v>
      </c>
      <c r="AU39" s="6">
        <f>SUM(AL40:AL54)</f>
        <v>0</v>
      </c>
    </row>
    <row r="40" spans="1:64" ht="15" customHeight="1">
      <c r="A40" s="15" t="s">
        <v>173</v>
      </c>
      <c r="B40" s="3" t="s">
        <v>64</v>
      </c>
      <c r="C40" s="62" t="s">
        <v>113</v>
      </c>
      <c r="D40" s="62"/>
      <c r="E40" s="62"/>
      <c r="F40" s="62"/>
      <c r="G40" s="3" t="s">
        <v>179</v>
      </c>
      <c r="H40" s="46">
        <v>30</v>
      </c>
      <c r="I40" s="46">
        <v>0</v>
      </c>
      <c r="J40" s="46">
        <f>H40*AO40</f>
        <v>0</v>
      </c>
      <c r="K40" s="46">
        <f>H40*AP40</f>
        <v>0</v>
      </c>
      <c r="L40" s="46">
        <f>H40*I40</f>
        <v>0</v>
      </c>
      <c r="M40" s="43" t="s">
        <v>146</v>
      </c>
      <c r="Z40" s="46">
        <f>IF(AQ40="5",BJ40,0)</f>
        <v>0</v>
      </c>
      <c r="AB40" s="46">
        <f>IF(AQ40="1",BH40,0)</f>
        <v>0</v>
      </c>
      <c r="AC40" s="46">
        <f>IF(AQ40="1",BI40,0)</f>
        <v>0</v>
      </c>
      <c r="AD40" s="46">
        <f>IF(AQ40="7",BH40,0)</f>
        <v>0</v>
      </c>
      <c r="AE40" s="46">
        <f>IF(AQ40="7",BI40,0)</f>
        <v>0</v>
      </c>
      <c r="AF40" s="46">
        <f>IF(AQ40="2",BH40,0)</f>
        <v>0</v>
      </c>
      <c r="AG40" s="46">
        <f>IF(AQ40="2",BI40,0)</f>
        <v>0</v>
      </c>
      <c r="AH40" s="46">
        <f>IF(AQ40="0",BJ40,0)</f>
        <v>0</v>
      </c>
      <c r="AI40" s="50" t="s">
        <v>151</v>
      </c>
      <c r="AJ40" s="46">
        <f>IF(AN40=0,L40,0)</f>
        <v>0</v>
      </c>
      <c r="AK40" s="46">
        <f>IF(AN40=15,L40,0)</f>
        <v>0</v>
      </c>
      <c r="AL40" s="46">
        <f>IF(AN40=21,L40,0)</f>
        <v>0</v>
      </c>
      <c r="AN40" s="46">
        <v>21</v>
      </c>
      <c r="AO40" s="46">
        <f>I40*0.448917197452229</f>
        <v>0</v>
      </c>
      <c r="AP40" s="46">
        <f>I40*(1-0.448917197452229)</f>
        <v>0</v>
      </c>
      <c r="AQ40" s="1" t="s">
        <v>147</v>
      </c>
      <c r="AV40" s="46">
        <f>AW40+AX40</f>
        <v>0</v>
      </c>
      <c r="AW40" s="46">
        <f>H40*AO40</f>
        <v>0</v>
      </c>
      <c r="AX40" s="46">
        <f>H40*AP40</f>
        <v>0</v>
      </c>
      <c r="AY40" s="1" t="s">
        <v>241</v>
      </c>
      <c r="AZ40" s="1" t="s">
        <v>2</v>
      </c>
      <c r="BA40" s="50" t="s">
        <v>166</v>
      </c>
      <c r="BC40" s="46">
        <f>AW40+AX40</f>
        <v>0</v>
      </c>
      <c r="BD40" s="46">
        <f>I40/(100-BE40)*100</f>
        <v>0</v>
      </c>
      <c r="BE40" s="46">
        <v>0</v>
      </c>
      <c r="BF40" s="46">
        <f>40</f>
        <v>40</v>
      </c>
      <c r="BH40" s="46">
        <f>H40*AO40</f>
        <v>0</v>
      </c>
      <c r="BI40" s="46">
        <f>H40*AP40</f>
        <v>0</v>
      </c>
      <c r="BJ40" s="46">
        <f>H40*I40</f>
        <v>0</v>
      </c>
      <c r="BK40" s="46"/>
      <c r="BL40" s="46"/>
    </row>
    <row r="41" spans="1:13" ht="13.5" customHeight="1">
      <c r="A41" s="33"/>
      <c r="B41" s="11" t="s">
        <v>106</v>
      </c>
      <c r="C41" s="124" t="s">
        <v>37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6"/>
    </row>
    <row r="42" spans="1:64" ht="15" customHeight="1">
      <c r="A42" s="15" t="s">
        <v>129</v>
      </c>
      <c r="B42" s="3" t="s">
        <v>31</v>
      </c>
      <c r="C42" s="62" t="s">
        <v>137</v>
      </c>
      <c r="D42" s="62"/>
      <c r="E42" s="62"/>
      <c r="F42" s="62"/>
      <c r="G42" s="3" t="s">
        <v>53</v>
      </c>
      <c r="H42" s="46">
        <v>12</v>
      </c>
      <c r="I42" s="46">
        <v>0</v>
      </c>
      <c r="J42" s="46">
        <f>H42*AO42</f>
        <v>0</v>
      </c>
      <c r="K42" s="46">
        <f>H42*AP42</f>
        <v>0</v>
      </c>
      <c r="L42" s="46">
        <f>H42*I42</f>
        <v>0</v>
      </c>
      <c r="M42" s="43" t="s">
        <v>146</v>
      </c>
      <c r="Z42" s="46">
        <f>IF(AQ42="5",BJ42,0)</f>
        <v>0</v>
      </c>
      <c r="AB42" s="46">
        <f>IF(AQ42="1",BH42,0)</f>
        <v>0</v>
      </c>
      <c r="AC42" s="46">
        <f>IF(AQ42="1",BI42,0)</f>
        <v>0</v>
      </c>
      <c r="AD42" s="46">
        <f>IF(AQ42="7",BH42,0)</f>
        <v>0</v>
      </c>
      <c r="AE42" s="46">
        <f>IF(AQ42="7",BI42,0)</f>
        <v>0</v>
      </c>
      <c r="AF42" s="46">
        <f>IF(AQ42="2",BH42,0)</f>
        <v>0</v>
      </c>
      <c r="AG42" s="46">
        <f>IF(AQ42="2",BI42,0)</f>
        <v>0</v>
      </c>
      <c r="AH42" s="46">
        <f>IF(AQ42="0",BJ42,0)</f>
        <v>0</v>
      </c>
      <c r="AI42" s="50" t="s">
        <v>151</v>
      </c>
      <c r="AJ42" s="46">
        <f>IF(AN42=0,L42,0)</f>
        <v>0</v>
      </c>
      <c r="AK42" s="46">
        <f>IF(AN42=15,L42,0)</f>
        <v>0</v>
      </c>
      <c r="AL42" s="46">
        <f>IF(AN42=21,L42,0)</f>
        <v>0</v>
      </c>
      <c r="AN42" s="46">
        <v>21</v>
      </c>
      <c r="AO42" s="46">
        <f>I42*0.537015891701001</f>
        <v>0</v>
      </c>
      <c r="AP42" s="46">
        <f>I42*(1-0.537015891701001)</f>
        <v>0</v>
      </c>
      <c r="AQ42" s="1" t="s">
        <v>147</v>
      </c>
      <c r="AV42" s="46">
        <f>AW42+AX42</f>
        <v>0</v>
      </c>
      <c r="AW42" s="46">
        <f>H42*AO42</f>
        <v>0</v>
      </c>
      <c r="AX42" s="46">
        <f>H42*AP42</f>
        <v>0</v>
      </c>
      <c r="AY42" s="1" t="s">
        <v>241</v>
      </c>
      <c r="AZ42" s="1" t="s">
        <v>2</v>
      </c>
      <c r="BA42" s="50" t="s">
        <v>166</v>
      </c>
      <c r="BC42" s="46">
        <f>AW42+AX42</f>
        <v>0</v>
      </c>
      <c r="BD42" s="46">
        <f>I42/(100-BE42)*100</f>
        <v>0</v>
      </c>
      <c r="BE42" s="46">
        <v>0</v>
      </c>
      <c r="BF42" s="46">
        <f>42</f>
        <v>42</v>
      </c>
      <c r="BH42" s="46">
        <f>H42*AO42</f>
        <v>0</v>
      </c>
      <c r="BI42" s="46">
        <f>H42*AP42</f>
        <v>0</v>
      </c>
      <c r="BJ42" s="46">
        <f>H42*I42</f>
        <v>0</v>
      </c>
      <c r="BK42" s="46"/>
      <c r="BL42" s="46"/>
    </row>
    <row r="43" spans="1:13" ht="13.5" customHeight="1">
      <c r="A43" s="33"/>
      <c r="B43" s="11" t="s">
        <v>106</v>
      </c>
      <c r="C43" s="124" t="s">
        <v>156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6"/>
    </row>
    <row r="44" spans="1:64" ht="15" customHeight="1">
      <c r="A44" s="15" t="s">
        <v>8</v>
      </c>
      <c r="B44" s="3" t="s">
        <v>123</v>
      </c>
      <c r="C44" s="62" t="s">
        <v>138</v>
      </c>
      <c r="D44" s="62"/>
      <c r="E44" s="62"/>
      <c r="F44" s="62"/>
      <c r="G44" s="3" t="s">
        <v>53</v>
      </c>
      <c r="H44" s="46">
        <v>24</v>
      </c>
      <c r="I44" s="46">
        <v>0</v>
      </c>
      <c r="J44" s="46">
        <f>H44*AO44</f>
        <v>0</v>
      </c>
      <c r="K44" s="46">
        <f>H44*AP44</f>
        <v>0</v>
      </c>
      <c r="L44" s="46">
        <f>H44*I44</f>
        <v>0</v>
      </c>
      <c r="M44" s="43" t="s">
        <v>146</v>
      </c>
      <c r="Z44" s="46">
        <f>IF(AQ44="5",BJ44,0)</f>
        <v>0</v>
      </c>
      <c r="AB44" s="46">
        <f>IF(AQ44="1",BH44,0)</f>
        <v>0</v>
      </c>
      <c r="AC44" s="46">
        <f>IF(AQ44="1",BI44,0)</f>
        <v>0</v>
      </c>
      <c r="AD44" s="46">
        <f>IF(AQ44="7",BH44,0)</f>
        <v>0</v>
      </c>
      <c r="AE44" s="46">
        <f>IF(AQ44="7",BI44,0)</f>
        <v>0</v>
      </c>
      <c r="AF44" s="46">
        <f>IF(AQ44="2",BH44,0)</f>
        <v>0</v>
      </c>
      <c r="AG44" s="46">
        <f>IF(AQ44="2",BI44,0)</f>
        <v>0</v>
      </c>
      <c r="AH44" s="46">
        <f>IF(AQ44="0",BJ44,0)</f>
        <v>0</v>
      </c>
      <c r="AI44" s="50" t="s">
        <v>151</v>
      </c>
      <c r="AJ44" s="46">
        <f>IF(AN44=0,L44,0)</f>
        <v>0</v>
      </c>
      <c r="AK44" s="46">
        <f>IF(AN44=15,L44,0)</f>
        <v>0</v>
      </c>
      <c r="AL44" s="46">
        <f>IF(AN44=21,L44,0)</f>
        <v>0</v>
      </c>
      <c r="AN44" s="46">
        <v>21</v>
      </c>
      <c r="AO44" s="46">
        <f>I44*0.2551953125</f>
        <v>0</v>
      </c>
      <c r="AP44" s="46">
        <f>I44*(1-0.2551953125)</f>
        <v>0</v>
      </c>
      <c r="AQ44" s="1" t="s">
        <v>147</v>
      </c>
      <c r="AV44" s="46">
        <f>AW44+AX44</f>
        <v>0</v>
      </c>
      <c r="AW44" s="46">
        <f>H44*AO44</f>
        <v>0</v>
      </c>
      <c r="AX44" s="46">
        <f>H44*AP44</f>
        <v>0</v>
      </c>
      <c r="AY44" s="1" t="s">
        <v>241</v>
      </c>
      <c r="AZ44" s="1" t="s">
        <v>2</v>
      </c>
      <c r="BA44" s="50" t="s">
        <v>166</v>
      </c>
      <c r="BC44" s="46">
        <f>AW44+AX44</f>
        <v>0</v>
      </c>
      <c r="BD44" s="46">
        <f>I44/(100-BE44)*100</f>
        <v>0</v>
      </c>
      <c r="BE44" s="46">
        <v>0</v>
      </c>
      <c r="BF44" s="46">
        <f>44</f>
        <v>44</v>
      </c>
      <c r="BH44" s="46">
        <f>H44*AO44</f>
        <v>0</v>
      </c>
      <c r="BI44" s="46">
        <f>H44*AP44</f>
        <v>0</v>
      </c>
      <c r="BJ44" s="46">
        <f>H44*I44</f>
        <v>0</v>
      </c>
      <c r="BK44" s="46"/>
      <c r="BL44" s="46"/>
    </row>
    <row r="45" spans="1:13" ht="13.5" customHeight="1">
      <c r="A45" s="33"/>
      <c r="B45" s="11" t="s">
        <v>106</v>
      </c>
      <c r="C45" s="124" t="s">
        <v>178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6"/>
    </row>
    <row r="46" spans="1:64" ht="15" customHeight="1">
      <c r="A46" s="15" t="s">
        <v>155</v>
      </c>
      <c r="B46" s="3" t="s">
        <v>105</v>
      </c>
      <c r="C46" s="62" t="s">
        <v>230</v>
      </c>
      <c r="D46" s="62"/>
      <c r="E46" s="62"/>
      <c r="F46" s="62"/>
      <c r="G46" s="3" t="s">
        <v>214</v>
      </c>
      <c r="H46" s="46">
        <v>2</v>
      </c>
      <c r="I46" s="46">
        <v>0</v>
      </c>
      <c r="J46" s="46">
        <f>H46*AO46</f>
        <v>0</v>
      </c>
      <c r="K46" s="46">
        <f>H46*AP46</f>
        <v>0</v>
      </c>
      <c r="L46" s="46">
        <f>H46*I46</f>
        <v>0</v>
      </c>
      <c r="M46" s="43" t="s">
        <v>146</v>
      </c>
      <c r="Z46" s="46">
        <f>IF(AQ46="5",BJ46,0)</f>
        <v>0</v>
      </c>
      <c r="AB46" s="46">
        <f>IF(AQ46="1",BH46,0)</f>
        <v>0</v>
      </c>
      <c r="AC46" s="46">
        <f>IF(AQ46="1",BI46,0)</f>
        <v>0</v>
      </c>
      <c r="AD46" s="46">
        <f>IF(AQ46="7",BH46,0)</f>
        <v>0</v>
      </c>
      <c r="AE46" s="46">
        <f>IF(AQ46="7",BI46,0)</f>
        <v>0</v>
      </c>
      <c r="AF46" s="46">
        <f>IF(AQ46="2",BH46,0)</f>
        <v>0</v>
      </c>
      <c r="AG46" s="46">
        <f>IF(AQ46="2",BI46,0)</f>
        <v>0</v>
      </c>
      <c r="AH46" s="46">
        <f>IF(AQ46="0",BJ46,0)</f>
        <v>0</v>
      </c>
      <c r="AI46" s="50" t="s">
        <v>151</v>
      </c>
      <c r="AJ46" s="46">
        <f>IF(AN46=0,L46,0)</f>
        <v>0</v>
      </c>
      <c r="AK46" s="46">
        <f>IF(AN46=15,L46,0)</f>
        <v>0</v>
      </c>
      <c r="AL46" s="46">
        <f>IF(AN46=21,L46,0)</f>
        <v>0</v>
      </c>
      <c r="AN46" s="46">
        <v>21</v>
      </c>
      <c r="AO46" s="46">
        <f>I46*0</f>
        <v>0</v>
      </c>
      <c r="AP46" s="46">
        <f>I46*(1-0)</f>
        <v>0</v>
      </c>
      <c r="AQ46" s="1" t="s">
        <v>217</v>
      </c>
      <c r="AV46" s="46">
        <f>AW46+AX46</f>
        <v>0</v>
      </c>
      <c r="AW46" s="46">
        <f>H46*AO46</f>
        <v>0</v>
      </c>
      <c r="AX46" s="46">
        <f>H46*AP46</f>
        <v>0</v>
      </c>
      <c r="AY46" s="1" t="s">
        <v>241</v>
      </c>
      <c r="AZ46" s="1" t="s">
        <v>2</v>
      </c>
      <c r="BA46" s="50" t="s">
        <v>166</v>
      </c>
      <c r="BC46" s="46">
        <f>AW46+AX46</f>
        <v>0</v>
      </c>
      <c r="BD46" s="46">
        <f>I46/(100-BE46)*100</f>
        <v>0</v>
      </c>
      <c r="BE46" s="46">
        <v>0</v>
      </c>
      <c r="BF46" s="46">
        <f>46</f>
        <v>46</v>
      </c>
      <c r="BH46" s="46">
        <f>H46*AO46</f>
        <v>0</v>
      </c>
      <c r="BI46" s="46">
        <f>H46*AP46</f>
        <v>0</v>
      </c>
      <c r="BJ46" s="46">
        <f>H46*I46</f>
        <v>0</v>
      </c>
      <c r="BK46" s="46"/>
      <c r="BL46" s="46"/>
    </row>
    <row r="47" spans="1:13" ht="54" customHeight="1">
      <c r="A47" s="33"/>
      <c r="B47" s="11" t="s">
        <v>76</v>
      </c>
      <c r="C47" s="124" t="s">
        <v>245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6"/>
    </row>
    <row r="48" spans="1:64" ht="15" customHeight="1">
      <c r="A48" s="15" t="s">
        <v>206</v>
      </c>
      <c r="B48" s="3" t="s">
        <v>94</v>
      </c>
      <c r="C48" s="62" t="s">
        <v>135</v>
      </c>
      <c r="D48" s="62"/>
      <c r="E48" s="62"/>
      <c r="F48" s="62"/>
      <c r="G48" s="3" t="s">
        <v>214</v>
      </c>
      <c r="H48" s="46">
        <v>2</v>
      </c>
      <c r="I48" s="46">
        <v>0</v>
      </c>
      <c r="J48" s="46">
        <f>H48*AO48</f>
        <v>0</v>
      </c>
      <c r="K48" s="46">
        <f>H48*AP48</f>
        <v>0</v>
      </c>
      <c r="L48" s="46">
        <f>H48*I48</f>
        <v>0</v>
      </c>
      <c r="M48" s="43" t="s">
        <v>146</v>
      </c>
      <c r="Z48" s="46">
        <f>IF(AQ48="5",BJ48,0)</f>
        <v>0</v>
      </c>
      <c r="AB48" s="46">
        <f>IF(AQ48="1",BH48,0)</f>
        <v>0</v>
      </c>
      <c r="AC48" s="46">
        <f>IF(AQ48="1",BI48,0)</f>
        <v>0</v>
      </c>
      <c r="AD48" s="46">
        <f>IF(AQ48="7",BH48,0)</f>
        <v>0</v>
      </c>
      <c r="AE48" s="46">
        <f>IF(AQ48="7",BI48,0)</f>
        <v>0</v>
      </c>
      <c r="AF48" s="46">
        <f>IF(AQ48="2",BH48,0)</f>
        <v>0</v>
      </c>
      <c r="AG48" s="46">
        <f>IF(AQ48="2",BI48,0)</f>
        <v>0</v>
      </c>
      <c r="AH48" s="46">
        <f>IF(AQ48="0",BJ48,0)</f>
        <v>0</v>
      </c>
      <c r="AI48" s="50" t="s">
        <v>151</v>
      </c>
      <c r="AJ48" s="46">
        <f>IF(AN48=0,L48,0)</f>
        <v>0</v>
      </c>
      <c r="AK48" s="46">
        <f>IF(AN48=15,L48,0)</f>
        <v>0</v>
      </c>
      <c r="AL48" s="46">
        <f>IF(AN48=21,L48,0)</f>
        <v>0</v>
      </c>
      <c r="AN48" s="46">
        <v>21</v>
      </c>
      <c r="AO48" s="46">
        <f>I48*0.862716272758114</f>
        <v>0</v>
      </c>
      <c r="AP48" s="46">
        <f>I48*(1-0.862716272758114)</f>
        <v>0</v>
      </c>
      <c r="AQ48" s="1" t="s">
        <v>147</v>
      </c>
      <c r="AV48" s="46">
        <f>AW48+AX48</f>
        <v>0</v>
      </c>
      <c r="AW48" s="46">
        <f>H48*AO48</f>
        <v>0</v>
      </c>
      <c r="AX48" s="46">
        <f>H48*AP48</f>
        <v>0</v>
      </c>
      <c r="AY48" s="1" t="s">
        <v>241</v>
      </c>
      <c r="AZ48" s="1" t="s">
        <v>2</v>
      </c>
      <c r="BA48" s="50" t="s">
        <v>166</v>
      </c>
      <c r="BC48" s="46">
        <f>AW48+AX48</f>
        <v>0</v>
      </c>
      <c r="BD48" s="46">
        <f>I48/(100-BE48)*100</f>
        <v>0</v>
      </c>
      <c r="BE48" s="46">
        <v>0</v>
      </c>
      <c r="BF48" s="46">
        <f>48</f>
        <v>48</v>
      </c>
      <c r="BH48" s="46">
        <f>H48*AO48</f>
        <v>0</v>
      </c>
      <c r="BI48" s="46">
        <f>H48*AP48</f>
        <v>0</v>
      </c>
      <c r="BJ48" s="46">
        <f>H48*I48</f>
        <v>0</v>
      </c>
      <c r="BK48" s="46"/>
      <c r="BL48" s="46"/>
    </row>
    <row r="49" spans="1:13" ht="27" customHeight="1">
      <c r="A49" s="33"/>
      <c r="B49" s="11" t="s">
        <v>76</v>
      </c>
      <c r="C49" s="124" t="s">
        <v>82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6"/>
    </row>
    <row r="50" spans="1:64" ht="15" customHeight="1">
      <c r="A50" s="15" t="s">
        <v>96</v>
      </c>
      <c r="B50" s="3" t="s">
        <v>194</v>
      </c>
      <c r="C50" s="62" t="s">
        <v>93</v>
      </c>
      <c r="D50" s="62"/>
      <c r="E50" s="62"/>
      <c r="F50" s="62"/>
      <c r="G50" s="3" t="s">
        <v>214</v>
      </c>
      <c r="H50" s="46">
        <v>10</v>
      </c>
      <c r="I50" s="46">
        <v>0</v>
      </c>
      <c r="J50" s="46">
        <f>H50*AO50</f>
        <v>0</v>
      </c>
      <c r="K50" s="46">
        <f>H50*AP50</f>
        <v>0</v>
      </c>
      <c r="L50" s="46">
        <f>H50*I50</f>
        <v>0</v>
      </c>
      <c r="M50" s="43" t="s">
        <v>146</v>
      </c>
      <c r="Z50" s="46">
        <f>IF(AQ50="5",BJ50,0)</f>
        <v>0</v>
      </c>
      <c r="AB50" s="46">
        <f>IF(AQ50="1",BH50,0)</f>
        <v>0</v>
      </c>
      <c r="AC50" s="46">
        <f>IF(AQ50="1",BI50,0)</f>
        <v>0</v>
      </c>
      <c r="AD50" s="46">
        <f>IF(AQ50="7",BH50,0)</f>
        <v>0</v>
      </c>
      <c r="AE50" s="46">
        <f>IF(AQ50="7",BI50,0)</f>
        <v>0</v>
      </c>
      <c r="AF50" s="46">
        <f>IF(AQ50="2",BH50,0)</f>
        <v>0</v>
      </c>
      <c r="AG50" s="46">
        <f>IF(AQ50="2",BI50,0)</f>
        <v>0</v>
      </c>
      <c r="AH50" s="46">
        <f>IF(AQ50="0",BJ50,0)</f>
        <v>0</v>
      </c>
      <c r="AI50" s="50" t="s">
        <v>151</v>
      </c>
      <c r="AJ50" s="46">
        <f>IF(AN50=0,L50,0)</f>
        <v>0</v>
      </c>
      <c r="AK50" s="46">
        <f>IF(AN50=15,L50,0)</f>
        <v>0</v>
      </c>
      <c r="AL50" s="46">
        <f>IF(AN50=21,L50,0)</f>
        <v>0</v>
      </c>
      <c r="AN50" s="46">
        <v>21</v>
      </c>
      <c r="AO50" s="46">
        <f>I50*0</f>
        <v>0</v>
      </c>
      <c r="AP50" s="46">
        <f>I50*(1-0)</f>
        <v>0</v>
      </c>
      <c r="AQ50" s="1" t="s">
        <v>217</v>
      </c>
      <c r="AV50" s="46">
        <f>AW50+AX50</f>
        <v>0</v>
      </c>
      <c r="AW50" s="46">
        <f>H50*AO50</f>
        <v>0</v>
      </c>
      <c r="AX50" s="46">
        <f>H50*AP50</f>
        <v>0</v>
      </c>
      <c r="AY50" s="1" t="s">
        <v>241</v>
      </c>
      <c r="AZ50" s="1" t="s">
        <v>2</v>
      </c>
      <c r="BA50" s="50" t="s">
        <v>166</v>
      </c>
      <c r="BC50" s="46">
        <f>AW50+AX50</f>
        <v>0</v>
      </c>
      <c r="BD50" s="46">
        <f>I50/(100-BE50)*100</f>
        <v>0</v>
      </c>
      <c r="BE50" s="46">
        <v>0</v>
      </c>
      <c r="BF50" s="46">
        <f>50</f>
        <v>50</v>
      </c>
      <c r="BH50" s="46">
        <f>H50*AO50</f>
        <v>0</v>
      </c>
      <c r="BI50" s="46">
        <f>H50*AP50</f>
        <v>0</v>
      </c>
      <c r="BJ50" s="46">
        <f>H50*I50</f>
        <v>0</v>
      </c>
      <c r="BK50" s="46"/>
      <c r="BL50" s="46"/>
    </row>
    <row r="51" spans="1:13" ht="27" customHeight="1">
      <c r="A51" s="33"/>
      <c r="B51" s="11" t="s">
        <v>76</v>
      </c>
      <c r="C51" s="124" t="s">
        <v>154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6"/>
    </row>
    <row r="52" spans="1:64" ht="15" customHeight="1">
      <c r="A52" s="15" t="s">
        <v>20</v>
      </c>
      <c r="B52" s="3" t="s">
        <v>204</v>
      </c>
      <c r="C52" s="62" t="s">
        <v>176</v>
      </c>
      <c r="D52" s="62"/>
      <c r="E52" s="62"/>
      <c r="F52" s="62"/>
      <c r="G52" s="3" t="s">
        <v>214</v>
      </c>
      <c r="H52" s="46">
        <v>10</v>
      </c>
      <c r="I52" s="46">
        <v>0</v>
      </c>
      <c r="J52" s="46">
        <f>H52*AO52</f>
        <v>0</v>
      </c>
      <c r="K52" s="46">
        <f>H52*AP52</f>
        <v>0</v>
      </c>
      <c r="L52" s="46">
        <f>H52*I52</f>
        <v>0</v>
      </c>
      <c r="M52" s="43" t="s">
        <v>146</v>
      </c>
      <c r="Z52" s="46">
        <f>IF(AQ52="5",BJ52,0)</f>
        <v>0</v>
      </c>
      <c r="AB52" s="46">
        <f>IF(AQ52="1",BH52,0)</f>
        <v>0</v>
      </c>
      <c r="AC52" s="46">
        <f>IF(AQ52="1",BI52,0)</f>
        <v>0</v>
      </c>
      <c r="AD52" s="46">
        <f>IF(AQ52="7",BH52,0)</f>
        <v>0</v>
      </c>
      <c r="AE52" s="46">
        <f>IF(AQ52="7",BI52,0)</f>
        <v>0</v>
      </c>
      <c r="AF52" s="46">
        <f>IF(AQ52="2",BH52,0)</f>
        <v>0</v>
      </c>
      <c r="AG52" s="46">
        <f>IF(AQ52="2",BI52,0)</f>
        <v>0</v>
      </c>
      <c r="AH52" s="46">
        <f>IF(AQ52="0",BJ52,0)</f>
        <v>0</v>
      </c>
      <c r="AI52" s="50" t="s">
        <v>151</v>
      </c>
      <c r="AJ52" s="46">
        <f>IF(AN52=0,L52,0)</f>
        <v>0</v>
      </c>
      <c r="AK52" s="46">
        <f>IF(AN52=15,L52,0)</f>
        <v>0</v>
      </c>
      <c r="AL52" s="46">
        <f>IF(AN52=21,L52,0)</f>
        <v>0</v>
      </c>
      <c r="AN52" s="46">
        <v>21</v>
      </c>
      <c r="AO52" s="46">
        <f>I52*0.330457516339869</f>
        <v>0</v>
      </c>
      <c r="AP52" s="46">
        <f>I52*(1-0.330457516339869)</f>
        <v>0</v>
      </c>
      <c r="AQ52" s="1" t="s">
        <v>147</v>
      </c>
      <c r="AV52" s="46">
        <f>AW52+AX52</f>
        <v>0</v>
      </c>
      <c r="AW52" s="46">
        <f>H52*AO52</f>
        <v>0</v>
      </c>
      <c r="AX52" s="46">
        <f>H52*AP52</f>
        <v>0</v>
      </c>
      <c r="AY52" s="1" t="s">
        <v>241</v>
      </c>
      <c r="AZ52" s="1" t="s">
        <v>2</v>
      </c>
      <c r="BA52" s="50" t="s">
        <v>166</v>
      </c>
      <c r="BC52" s="46">
        <f>AW52+AX52</f>
        <v>0</v>
      </c>
      <c r="BD52" s="46">
        <f>I52/(100-BE52)*100</f>
        <v>0</v>
      </c>
      <c r="BE52" s="46">
        <v>0</v>
      </c>
      <c r="BF52" s="46">
        <f>52</f>
        <v>52</v>
      </c>
      <c r="BH52" s="46">
        <f>H52*AO52</f>
        <v>0</v>
      </c>
      <c r="BI52" s="46">
        <f>H52*AP52</f>
        <v>0</v>
      </c>
      <c r="BJ52" s="46">
        <f>H52*I52</f>
        <v>0</v>
      </c>
      <c r="BK52" s="46"/>
      <c r="BL52" s="46"/>
    </row>
    <row r="53" spans="1:13" ht="27" customHeight="1">
      <c r="A53" s="33"/>
      <c r="B53" s="11" t="s">
        <v>76</v>
      </c>
      <c r="C53" s="124" t="s">
        <v>235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6"/>
    </row>
    <row r="54" spans="1:64" ht="15" customHeight="1">
      <c r="A54" s="15" t="s">
        <v>52</v>
      </c>
      <c r="B54" s="3" t="s">
        <v>126</v>
      </c>
      <c r="C54" s="62" t="s">
        <v>63</v>
      </c>
      <c r="D54" s="62"/>
      <c r="E54" s="62"/>
      <c r="F54" s="62"/>
      <c r="G54" s="3" t="s">
        <v>210</v>
      </c>
      <c r="H54" s="46">
        <v>6</v>
      </c>
      <c r="I54" s="46">
        <v>0</v>
      </c>
      <c r="J54" s="46">
        <f>H54*AO54</f>
        <v>0</v>
      </c>
      <c r="K54" s="46">
        <f>H54*AP54</f>
        <v>0</v>
      </c>
      <c r="L54" s="46">
        <f>H54*I54</f>
        <v>0</v>
      </c>
      <c r="M54" s="43" t="s">
        <v>146</v>
      </c>
      <c r="Z54" s="46">
        <f>IF(AQ54="5",BJ54,0)</f>
        <v>0</v>
      </c>
      <c r="AB54" s="46">
        <f>IF(AQ54="1",BH54,0)</f>
        <v>0</v>
      </c>
      <c r="AC54" s="46">
        <f>IF(AQ54="1",BI54,0)</f>
        <v>0</v>
      </c>
      <c r="AD54" s="46">
        <f>IF(AQ54="7",BH54,0)</f>
        <v>0</v>
      </c>
      <c r="AE54" s="46">
        <f>IF(AQ54="7",BI54,0)</f>
        <v>0</v>
      </c>
      <c r="AF54" s="46">
        <f>IF(AQ54="2",BH54,0)</f>
        <v>0</v>
      </c>
      <c r="AG54" s="46">
        <f>IF(AQ54="2",BI54,0)</f>
        <v>0</v>
      </c>
      <c r="AH54" s="46">
        <f>IF(AQ54="0",BJ54,0)</f>
        <v>0</v>
      </c>
      <c r="AI54" s="50" t="s">
        <v>151</v>
      </c>
      <c r="AJ54" s="46">
        <f>IF(AN54=0,L54,0)</f>
        <v>0</v>
      </c>
      <c r="AK54" s="46">
        <f>IF(AN54=15,L54,0)</f>
        <v>0</v>
      </c>
      <c r="AL54" s="46">
        <f>IF(AN54=21,L54,0)</f>
        <v>0</v>
      </c>
      <c r="AN54" s="46">
        <v>21</v>
      </c>
      <c r="AO54" s="46">
        <f>I54*0</f>
        <v>0</v>
      </c>
      <c r="AP54" s="46">
        <f>I54*(1-0)</f>
        <v>0</v>
      </c>
      <c r="AQ54" s="1" t="s">
        <v>217</v>
      </c>
      <c r="AV54" s="46">
        <f>AW54+AX54</f>
        <v>0</v>
      </c>
      <c r="AW54" s="46">
        <f>H54*AO54</f>
        <v>0</v>
      </c>
      <c r="AX54" s="46">
        <f>H54*AP54</f>
        <v>0</v>
      </c>
      <c r="AY54" s="1" t="s">
        <v>241</v>
      </c>
      <c r="AZ54" s="1" t="s">
        <v>2</v>
      </c>
      <c r="BA54" s="50" t="s">
        <v>166</v>
      </c>
      <c r="BC54" s="46">
        <f>AW54+AX54</f>
        <v>0</v>
      </c>
      <c r="BD54" s="46">
        <f>I54/(100-BE54)*100</f>
        <v>0</v>
      </c>
      <c r="BE54" s="46">
        <v>0</v>
      </c>
      <c r="BF54" s="46">
        <f>54</f>
        <v>54</v>
      </c>
      <c r="BH54" s="46">
        <f>H54*AO54</f>
        <v>0</v>
      </c>
      <c r="BI54" s="46">
        <f>H54*AP54</f>
        <v>0</v>
      </c>
      <c r="BJ54" s="46">
        <f>H54*I54</f>
        <v>0</v>
      </c>
      <c r="BK54" s="46"/>
      <c r="BL54" s="46"/>
    </row>
    <row r="55" spans="1:47" ht="15" customHeight="1">
      <c r="A55" s="52" t="s">
        <v>151</v>
      </c>
      <c r="B55" s="54" t="s">
        <v>234</v>
      </c>
      <c r="C55" s="123" t="s">
        <v>5</v>
      </c>
      <c r="D55" s="123"/>
      <c r="E55" s="123"/>
      <c r="F55" s="123"/>
      <c r="G55" s="49" t="s">
        <v>201</v>
      </c>
      <c r="H55" s="49" t="s">
        <v>201</v>
      </c>
      <c r="I55" s="49" t="s">
        <v>201</v>
      </c>
      <c r="J55" s="6">
        <f>SUM(J56:J60)</f>
        <v>0</v>
      </c>
      <c r="K55" s="6">
        <f>SUM(K56:K60)</f>
        <v>0</v>
      </c>
      <c r="L55" s="6">
        <f>SUM(L56:L60)</f>
        <v>0</v>
      </c>
      <c r="M55" s="13" t="s">
        <v>151</v>
      </c>
      <c r="AI55" s="50" t="s">
        <v>151</v>
      </c>
      <c r="AS55" s="6">
        <f>SUM(AJ56:AJ60)</f>
        <v>0</v>
      </c>
      <c r="AT55" s="6">
        <f>SUM(AK56:AK60)</f>
        <v>0</v>
      </c>
      <c r="AU55" s="6">
        <f>SUM(AL56:AL60)</f>
        <v>0</v>
      </c>
    </row>
    <row r="56" spans="1:64" ht="15" customHeight="1">
      <c r="A56" s="15" t="s">
        <v>26</v>
      </c>
      <c r="B56" s="3" t="s">
        <v>102</v>
      </c>
      <c r="C56" s="62" t="s">
        <v>232</v>
      </c>
      <c r="D56" s="62"/>
      <c r="E56" s="62"/>
      <c r="F56" s="62"/>
      <c r="G56" s="3" t="s">
        <v>184</v>
      </c>
      <c r="H56" s="46">
        <v>200</v>
      </c>
      <c r="I56" s="46">
        <v>0</v>
      </c>
      <c r="J56" s="46">
        <f>H56*AO56</f>
        <v>0</v>
      </c>
      <c r="K56" s="46">
        <f>H56*AP56</f>
        <v>0</v>
      </c>
      <c r="L56" s="46">
        <f>H56*I56</f>
        <v>0</v>
      </c>
      <c r="M56" s="43" t="s">
        <v>146</v>
      </c>
      <c r="Z56" s="46">
        <f>IF(AQ56="5",BJ56,0)</f>
        <v>0</v>
      </c>
      <c r="AB56" s="46">
        <f>IF(AQ56="1",BH56,0)</f>
        <v>0</v>
      </c>
      <c r="AC56" s="46">
        <f>IF(AQ56="1",BI56,0)</f>
        <v>0</v>
      </c>
      <c r="AD56" s="46">
        <f>IF(AQ56="7",BH56,0)</f>
        <v>0</v>
      </c>
      <c r="AE56" s="46">
        <f>IF(AQ56="7",BI56,0)</f>
        <v>0</v>
      </c>
      <c r="AF56" s="46">
        <f>IF(AQ56="2",BH56,0)</f>
        <v>0</v>
      </c>
      <c r="AG56" s="46">
        <f>IF(AQ56="2",BI56,0)</f>
        <v>0</v>
      </c>
      <c r="AH56" s="46">
        <f>IF(AQ56="0",BJ56,0)</f>
        <v>0</v>
      </c>
      <c r="AI56" s="50" t="s">
        <v>151</v>
      </c>
      <c r="AJ56" s="46">
        <f>IF(AN56=0,L56,0)</f>
        <v>0</v>
      </c>
      <c r="AK56" s="46">
        <f>IF(AN56=15,L56,0)</f>
        <v>0</v>
      </c>
      <c r="AL56" s="46">
        <f>IF(AN56=21,L56,0)</f>
        <v>0</v>
      </c>
      <c r="AN56" s="46">
        <v>21</v>
      </c>
      <c r="AO56" s="46">
        <f>I56*0</f>
        <v>0</v>
      </c>
      <c r="AP56" s="46">
        <f>I56*(1-0)</f>
        <v>0</v>
      </c>
      <c r="AQ56" s="1" t="s">
        <v>110</v>
      </c>
      <c r="AV56" s="46">
        <f>AW56+AX56</f>
        <v>0</v>
      </c>
      <c r="AW56" s="46">
        <f>H56*AO56</f>
        <v>0</v>
      </c>
      <c r="AX56" s="46">
        <f>H56*AP56</f>
        <v>0</v>
      </c>
      <c r="AY56" s="1" t="s">
        <v>202</v>
      </c>
      <c r="AZ56" s="1" t="s">
        <v>2</v>
      </c>
      <c r="BA56" s="50" t="s">
        <v>166</v>
      </c>
      <c r="BC56" s="46">
        <f>AW56+AX56</f>
        <v>0</v>
      </c>
      <c r="BD56" s="46">
        <f>I56/(100-BE56)*100</f>
        <v>0</v>
      </c>
      <c r="BE56" s="46">
        <v>0</v>
      </c>
      <c r="BF56" s="46">
        <f>56</f>
        <v>56</v>
      </c>
      <c r="BH56" s="46">
        <f>H56*AO56</f>
        <v>0</v>
      </c>
      <c r="BI56" s="46">
        <f>H56*AP56</f>
        <v>0</v>
      </c>
      <c r="BJ56" s="46">
        <f>H56*I56</f>
        <v>0</v>
      </c>
      <c r="BK56" s="46"/>
      <c r="BL56" s="46"/>
    </row>
    <row r="57" spans="1:64" ht="15" customHeight="1">
      <c r="A57" s="15" t="s">
        <v>212</v>
      </c>
      <c r="B57" s="3" t="s">
        <v>157</v>
      </c>
      <c r="C57" s="62" t="s">
        <v>162</v>
      </c>
      <c r="D57" s="62"/>
      <c r="E57" s="62"/>
      <c r="F57" s="62"/>
      <c r="G57" s="3" t="s">
        <v>99</v>
      </c>
      <c r="H57" s="46">
        <v>1</v>
      </c>
      <c r="I57" s="46">
        <v>0</v>
      </c>
      <c r="J57" s="46">
        <f>H57*AO57</f>
        <v>0</v>
      </c>
      <c r="K57" s="46">
        <f>H57*AP57</f>
        <v>0</v>
      </c>
      <c r="L57" s="46">
        <f>H57*I57</f>
        <v>0</v>
      </c>
      <c r="M57" s="43" t="s">
        <v>146</v>
      </c>
      <c r="Z57" s="46">
        <f>IF(AQ57="5",BJ57,0)</f>
        <v>0</v>
      </c>
      <c r="AB57" s="46">
        <f>IF(AQ57="1",BH57,0)</f>
        <v>0</v>
      </c>
      <c r="AC57" s="46">
        <f>IF(AQ57="1",BI57,0)</f>
        <v>0</v>
      </c>
      <c r="AD57" s="46">
        <f>IF(AQ57="7",BH57,0)</f>
        <v>0</v>
      </c>
      <c r="AE57" s="46">
        <f>IF(AQ57="7",BI57,0)</f>
        <v>0</v>
      </c>
      <c r="AF57" s="46">
        <f>IF(AQ57="2",BH57,0)</f>
        <v>0</v>
      </c>
      <c r="AG57" s="46">
        <f>IF(AQ57="2",BI57,0)</f>
        <v>0</v>
      </c>
      <c r="AH57" s="46">
        <f>IF(AQ57="0",BJ57,0)</f>
        <v>0</v>
      </c>
      <c r="AI57" s="50" t="s">
        <v>151</v>
      </c>
      <c r="AJ57" s="46">
        <f>IF(AN57=0,L57,0)</f>
        <v>0</v>
      </c>
      <c r="AK57" s="46">
        <f>IF(AN57=15,L57,0)</f>
        <v>0</v>
      </c>
      <c r="AL57" s="46">
        <f>IF(AN57=21,L57,0)</f>
        <v>0</v>
      </c>
      <c r="AN57" s="46">
        <v>21</v>
      </c>
      <c r="AO57" s="46">
        <f>I57*0</f>
        <v>0</v>
      </c>
      <c r="AP57" s="46">
        <f>I57*(1-0)</f>
        <v>0</v>
      </c>
      <c r="AQ57" s="1" t="s">
        <v>110</v>
      </c>
      <c r="AV57" s="46">
        <f>AW57+AX57</f>
        <v>0</v>
      </c>
      <c r="AW57" s="46">
        <f>H57*AO57</f>
        <v>0</v>
      </c>
      <c r="AX57" s="46">
        <f>H57*AP57</f>
        <v>0</v>
      </c>
      <c r="AY57" s="1" t="s">
        <v>202</v>
      </c>
      <c r="AZ57" s="1" t="s">
        <v>2</v>
      </c>
      <c r="BA57" s="50" t="s">
        <v>166</v>
      </c>
      <c r="BC57" s="46">
        <f>AW57+AX57</f>
        <v>0</v>
      </c>
      <c r="BD57" s="46">
        <f>I57/(100-BE57)*100</f>
        <v>0</v>
      </c>
      <c r="BE57" s="46">
        <v>0</v>
      </c>
      <c r="BF57" s="46">
        <f>57</f>
        <v>57</v>
      </c>
      <c r="BH57" s="46">
        <f>H57*AO57</f>
        <v>0</v>
      </c>
      <c r="BI57" s="46">
        <f>H57*AP57</f>
        <v>0</v>
      </c>
      <c r="BJ57" s="46">
        <f>H57*I57</f>
        <v>0</v>
      </c>
      <c r="BK57" s="46"/>
      <c r="BL57" s="46"/>
    </row>
    <row r="58" spans="1:64" ht="15" customHeight="1">
      <c r="A58" s="15" t="s">
        <v>239</v>
      </c>
      <c r="B58" s="3" t="s">
        <v>141</v>
      </c>
      <c r="C58" s="62" t="s">
        <v>95</v>
      </c>
      <c r="D58" s="62"/>
      <c r="E58" s="62"/>
      <c r="F58" s="62"/>
      <c r="G58" s="3" t="s">
        <v>99</v>
      </c>
      <c r="H58" s="46">
        <v>1</v>
      </c>
      <c r="I58" s="46">
        <v>0</v>
      </c>
      <c r="J58" s="46">
        <f>H58*AO58</f>
        <v>0</v>
      </c>
      <c r="K58" s="46">
        <f>H58*AP58</f>
        <v>0</v>
      </c>
      <c r="L58" s="46">
        <f>H58*I58</f>
        <v>0</v>
      </c>
      <c r="M58" s="43" t="s">
        <v>146</v>
      </c>
      <c r="Z58" s="46">
        <f>IF(AQ58="5",BJ58,0)</f>
        <v>0</v>
      </c>
      <c r="AB58" s="46">
        <f>IF(AQ58="1",BH58,0)</f>
        <v>0</v>
      </c>
      <c r="AC58" s="46">
        <f>IF(AQ58="1",BI58,0)</f>
        <v>0</v>
      </c>
      <c r="AD58" s="46">
        <f>IF(AQ58="7",BH58,0)</f>
        <v>0</v>
      </c>
      <c r="AE58" s="46">
        <f>IF(AQ58="7",BI58,0)</f>
        <v>0</v>
      </c>
      <c r="AF58" s="46">
        <f>IF(AQ58="2",BH58,0)</f>
        <v>0</v>
      </c>
      <c r="AG58" s="46">
        <f>IF(AQ58="2",BI58,0)</f>
        <v>0</v>
      </c>
      <c r="AH58" s="46">
        <f>IF(AQ58="0",BJ58,0)</f>
        <v>0</v>
      </c>
      <c r="AI58" s="50" t="s">
        <v>151</v>
      </c>
      <c r="AJ58" s="46">
        <f>IF(AN58=0,L58,0)</f>
        <v>0</v>
      </c>
      <c r="AK58" s="46">
        <f>IF(AN58=15,L58,0)</f>
        <v>0</v>
      </c>
      <c r="AL58" s="46">
        <f>IF(AN58=21,L58,0)</f>
        <v>0</v>
      </c>
      <c r="AN58" s="46">
        <v>21</v>
      </c>
      <c r="AO58" s="46">
        <f>I58*0</f>
        <v>0</v>
      </c>
      <c r="AP58" s="46">
        <f>I58*(1-0)</f>
        <v>0</v>
      </c>
      <c r="AQ58" s="1" t="s">
        <v>110</v>
      </c>
      <c r="AV58" s="46">
        <f>AW58+AX58</f>
        <v>0</v>
      </c>
      <c r="AW58" s="46">
        <f>H58*AO58</f>
        <v>0</v>
      </c>
      <c r="AX58" s="46">
        <f>H58*AP58</f>
        <v>0</v>
      </c>
      <c r="AY58" s="1" t="s">
        <v>202</v>
      </c>
      <c r="AZ58" s="1" t="s">
        <v>2</v>
      </c>
      <c r="BA58" s="50" t="s">
        <v>166</v>
      </c>
      <c r="BC58" s="46">
        <f>AW58+AX58</f>
        <v>0</v>
      </c>
      <c r="BD58" s="46">
        <f>I58/(100-BE58)*100</f>
        <v>0</v>
      </c>
      <c r="BE58" s="46">
        <v>0</v>
      </c>
      <c r="BF58" s="46">
        <f>58</f>
        <v>58</v>
      </c>
      <c r="BH58" s="46">
        <f>H58*AO58</f>
        <v>0</v>
      </c>
      <c r="BI58" s="46">
        <f>H58*AP58</f>
        <v>0</v>
      </c>
      <c r="BJ58" s="46">
        <f>H58*I58</f>
        <v>0</v>
      </c>
      <c r="BK58" s="46"/>
      <c r="BL58" s="46"/>
    </row>
    <row r="59" spans="1:64" ht="15" customHeight="1">
      <c r="A59" s="15" t="s">
        <v>13</v>
      </c>
      <c r="B59" s="3" t="s">
        <v>224</v>
      </c>
      <c r="C59" s="62" t="s">
        <v>193</v>
      </c>
      <c r="D59" s="62"/>
      <c r="E59" s="62"/>
      <c r="F59" s="62"/>
      <c r="G59" s="3" t="s">
        <v>99</v>
      </c>
      <c r="H59" s="46">
        <v>1</v>
      </c>
      <c r="I59" s="46">
        <v>0</v>
      </c>
      <c r="J59" s="46">
        <f>H59*AO59</f>
        <v>0</v>
      </c>
      <c r="K59" s="46">
        <f>H59*AP59</f>
        <v>0</v>
      </c>
      <c r="L59" s="46">
        <f>H59*I59</f>
        <v>0</v>
      </c>
      <c r="M59" s="43" t="s">
        <v>117</v>
      </c>
      <c r="Z59" s="46">
        <f>IF(AQ59="5",BJ59,0)</f>
        <v>0</v>
      </c>
      <c r="AB59" s="46">
        <f>IF(AQ59="1",BH59,0)</f>
        <v>0</v>
      </c>
      <c r="AC59" s="46">
        <f>IF(AQ59="1",BI59,0)</f>
        <v>0</v>
      </c>
      <c r="AD59" s="46">
        <f>IF(AQ59="7",BH59,0)</f>
        <v>0</v>
      </c>
      <c r="AE59" s="46">
        <f>IF(AQ59="7",BI59,0)</f>
        <v>0</v>
      </c>
      <c r="AF59" s="46">
        <f>IF(AQ59="2",BH59,0)</f>
        <v>0</v>
      </c>
      <c r="AG59" s="46">
        <f>IF(AQ59="2",BI59,0)</f>
        <v>0</v>
      </c>
      <c r="AH59" s="46">
        <f>IF(AQ59="0",BJ59,0)</f>
        <v>0</v>
      </c>
      <c r="AI59" s="50" t="s">
        <v>151</v>
      </c>
      <c r="AJ59" s="46">
        <f>IF(AN59=0,L59,0)</f>
        <v>0</v>
      </c>
      <c r="AK59" s="46">
        <f>IF(AN59=15,L59,0)</f>
        <v>0</v>
      </c>
      <c r="AL59" s="46">
        <f>IF(AN59=21,L59,0)</f>
        <v>0</v>
      </c>
      <c r="AN59" s="46">
        <v>21</v>
      </c>
      <c r="AO59" s="46">
        <f>I59*0</f>
        <v>0</v>
      </c>
      <c r="AP59" s="46">
        <f>I59*(1-0)</f>
        <v>0</v>
      </c>
      <c r="AQ59" s="1" t="s">
        <v>110</v>
      </c>
      <c r="AV59" s="46">
        <f>AW59+AX59</f>
        <v>0</v>
      </c>
      <c r="AW59" s="46">
        <f>H59*AO59</f>
        <v>0</v>
      </c>
      <c r="AX59" s="46">
        <f>H59*AP59</f>
        <v>0</v>
      </c>
      <c r="AY59" s="1" t="s">
        <v>202</v>
      </c>
      <c r="AZ59" s="1" t="s">
        <v>2</v>
      </c>
      <c r="BA59" s="50" t="s">
        <v>166</v>
      </c>
      <c r="BC59" s="46">
        <f>AW59+AX59</f>
        <v>0</v>
      </c>
      <c r="BD59" s="46">
        <f>I59/(100-BE59)*100</f>
        <v>0</v>
      </c>
      <c r="BE59" s="46">
        <v>0</v>
      </c>
      <c r="BF59" s="46">
        <f>59</f>
        <v>59</v>
      </c>
      <c r="BH59" s="46">
        <f>H59*AO59</f>
        <v>0</v>
      </c>
      <c r="BI59" s="46">
        <f>H59*AP59</f>
        <v>0</v>
      </c>
      <c r="BJ59" s="46">
        <f>H59*I59</f>
        <v>0</v>
      </c>
      <c r="BK59" s="46"/>
      <c r="BL59" s="46"/>
    </row>
    <row r="60" spans="1:64" ht="15" customHeight="1">
      <c r="A60" s="15" t="s">
        <v>136</v>
      </c>
      <c r="B60" s="3" t="s">
        <v>133</v>
      </c>
      <c r="C60" s="62" t="s">
        <v>164</v>
      </c>
      <c r="D60" s="62"/>
      <c r="E60" s="62"/>
      <c r="F60" s="62"/>
      <c r="G60" s="3" t="s">
        <v>167</v>
      </c>
      <c r="H60" s="46">
        <v>1</v>
      </c>
      <c r="I60" s="46">
        <v>0</v>
      </c>
      <c r="J60" s="46">
        <f>H60*AO60</f>
        <v>0</v>
      </c>
      <c r="K60" s="46">
        <f>H60*AP60</f>
        <v>0</v>
      </c>
      <c r="L60" s="46">
        <f>H60*I60</f>
        <v>0</v>
      </c>
      <c r="M60" s="43" t="s">
        <v>151</v>
      </c>
      <c r="Z60" s="46">
        <f>IF(AQ60="5",BJ60,0)</f>
        <v>0</v>
      </c>
      <c r="AB60" s="46">
        <f>IF(AQ60="1",BH60,0)</f>
        <v>0</v>
      </c>
      <c r="AC60" s="46">
        <f>IF(AQ60="1",BI60,0)</f>
        <v>0</v>
      </c>
      <c r="AD60" s="46">
        <f>IF(AQ60="7",BH60,0)</f>
        <v>0</v>
      </c>
      <c r="AE60" s="46">
        <f>IF(AQ60="7",BI60,0)</f>
        <v>0</v>
      </c>
      <c r="AF60" s="46">
        <f>IF(AQ60="2",BH60,0)</f>
        <v>0</v>
      </c>
      <c r="AG60" s="46">
        <f>IF(AQ60="2",BI60,0)</f>
        <v>0</v>
      </c>
      <c r="AH60" s="46">
        <f>IF(AQ60="0",BJ60,0)</f>
        <v>0</v>
      </c>
      <c r="AI60" s="50" t="s">
        <v>151</v>
      </c>
      <c r="AJ60" s="46">
        <f>IF(AN60=0,L60,0)</f>
        <v>0</v>
      </c>
      <c r="AK60" s="46">
        <f>IF(AN60=15,L60,0)</f>
        <v>0</v>
      </c>
      <c r="AL60" s="46">
        <f>IF(AN60=21,L60,0)</f>
        <v>0</v>
      </c>
      <c r="AN60" s="46">
        <v>21</v>
      </c>
      <c r="AO60" s="46">
        <f>I60*1</f>
        <v>0</v>
      </c>
      <c r="AP60" s="46">
        <f>I60*(1-1)</f>
        <v>0</v>
      </c>
      <c r="AQ60" s="1" t="s">
        <v>217</v>
      </c>
      <c r="AV60" s="46">
        <f>AW60+AX60</f>
        <v>0</v>
      </c>
      <c r="AW60" s="46">
        <f>H60*AO60</f>
        <v>0</v>
      </c>
      <c r="AX60" s="46">
        <f>H60*AP60</f>
        <v>0</v>
      </c>
      <c r="AY60" s="1" t="s">
        <v>202</v>
      </c>
      <c r="AZ60" s="1" t="s">
        <v>2</v>
      </c>
      <c r="BA60" s="50" t="s">
        <v>166</v>
      </c>
      <c r="BC60" s="46">
        <f>AW60+AX60</f>
        <v>0</v>
      </c>
      <c r="BD60" s="46">
        <f>I60/(100-BE60)*100</f>
        <v>0</v>
      </c>
      <c r="BE60" s="46">
        <v>0</v>
      </c>
      <c r="BF60" s="46">
        <f>60</f>
        <v>60</v>
      </c>
      <c r="BH60" s="46">
        <f>H60*AO60</f>
        <v>0</v>
      </c>
      <c r="BI60" s="46">
        <f>H60*AP60</f>
        <v>0</v>
      </c>
      <c r="BJ60" s="46">
        <f>H60*I60</f>
        <v>0</v>
      </c>
      <c r="BK60" s="46"/>
      <c r="BL60" s="46"/>
    </row>
    <row r="61" spans="1:47" ht="15" customHeight="1">
      <c r="A61" s="52" t="s">
        <v>151</v>
      </c>
      <c r="B61" s="54" t="s">
        <v>28</v>
      </c>
      <c r="C61" s="123" t="s">
        <v>58</v>
      </c>
      <c r="D61" s="123"/>
      <c r="E61" s="123"/>
      <c r="F61" s="123"/>
      <c r="G61" s="49" t="s">
        <v>201</v>
      </c>
      <c r="H61" s="49" t="s">
        <v>201</v>
      </c>
      <c r="I61" s="49" t="s">
        <v>201</v>
      </c>
      <c r="J61" s="6">
        <f>SUM(J62:J63)</f>
        <v>0</v>
      </c>
      <c r="K61" s="6">
        <f>SUM(K62:K63)</f>
        <v>0</v>
      </c>
      <c r="L61" s="6">
        <f>SUM(L62:L63)</f>
        <v>0</v>
      </c>
      <c r="M61" s="13" t="s">
        <v>151</v>
      </c>
      <c r="AI61" s="50" t="s">
        <v>151</v>
      </c>
      <c r="AS61" s="6">
        <f>SUM(AJ62:AJ63)</f>
        <v>0</v>
      </c>
      <c r="AT61" s="6">
        <f>SUM(AK62:AK63)</f>
        <v>0</v>
      </c>
      <c r="AU61" s="6">
        <f>SUM(AL62:AL63)</f>
        <v>0</v>
      </c>
    </row>
    <row r="62" spans="1:64" ht="15" customHeight="1">
      <c r="A62" s="15" t="s">
        <v>122</v>
      </c>
      <c r="B62" s="3" t="s">
        <v>187</v>
      </c>
      <c r="C62" s="62" t="s">
        <v>149</v>
      </c>
      <c r="D62" s="62"/>
      <c r="E62" s="62"/>
      <c r="F62" s="62"/>
      <c r="G62" s="3" t="s">
        <v>167</v>
      </c>
      <c r="H62" s="46">
        <v>1</v>
      </c>
      <c r="I62" s="46">
        <v>0</v>
      </c>
      <c r="J62" s="46">
        <f>H62*AO62</f>
        <v>0</v>
      </c>
      <c r="K62" s="46">
        <f>H62*AP62</f>
        <v>0</v>
      </c>
      <c r="L62" s="46">
        <f>H62*I62</f>
        <v>0</v>
      </c>
      <c r="M62" s="43" t="s">
        <v>151</v>
      </c>
      <c r="Z62" s="46">
        <f>IF(AQ62="5",BJ62,0)</f>
        <v>0</v>
      </c>
      <c r="AB62" s="46">
        <f>IF(AQ62="1",BH62,0)</f>
        <v>0</v>
      </c>
      <c r="AC62" s="46">
        <f>IF(AQ62="1",BI62,0)</f>
        <v>0</v>
      </c>
      <c r="AD62" s="46">
        <f>IF(AQ62="7",BH62,0)</f>
        <v>0</v>
      </c>
      <c r="AE62" s="46">
        <f>IF(AQ62="7",BI62,0)</f>
        <v>0</v>
      </c>
      <c r="AF62" s="46">
        <f>IF(AQ62="2",BH62,0)</f>
        <v>0</v>
      </c>
      <c r="AG62" s="46">
        <f>IF(AQ62="2",BI62,0)</f>
        <v>0</v>
      </c>
      <c r="AH62" s="46">
        <f>IF(AQ62="0",BJ62,0)</f>
        <v>0</v>
      </c>
      <c r="AI62" s="50" t="s">
        <v>151</v>
      </c>
      <c r="AJ62" s="46">
        <f>IF(AN62=0,L62,0)</f>
        <v>0</v>
      </c>
      <c r="AK62" s="46">
        <f>IF(AN62=15,L62,0)</f>
        <v>0</v>
      </c>
      <c r="AL62" s="46">
        <f>IF(AN62=21,L62,0)</f>
        <v>0</v>
      </c>
      <c r="AN62" s="46">
        <v>21</v>
      </c>
      <c r="AO62" s="46">
        <f>I62*1</f>
        <v>0</v>
      </c>
      <c r="AP62" s="46">
        <f>I62*(1-1)</f>
        <v>0</v>
      </c>
      <c r="AQ62" s="1" t="s">
        <v>217</v>
      </c>
      <c r="AV62" s="46">
        <f>AW62+AX62</f>
        <v>0</v>
      </c>
      <c r="AW62" s="46">
        <f>H62*AO62</f>
        <v>0</v>
      </c>
      <c r="AX62" s="46">
        <f>H62*AP62</f>
        <v>0</v>
      </c>
      <c r="AY62" s="1" t="s">
        <v>132</v>
      </c>
      <c r="AZ62" s="1" t="s">
        <v>2</v>
      </c>
      <c r="BA62" s="50" t="s">
        <v>166</v>
      </c>
      <c r="BC62" s="46">
        <f>AW62+AX62</f>
        <v>0</v>
      </c>
      <c r="BD62" s="46">
        <f>I62/(100-BE62)*100</f>
        <v>0</v>
      </c>
      <c r="BE62" s="46">
        <v>0</v>
      </c>
      <c r="BF62" s="46">
        <f>62</f>
        <v>62</v>
      </c>
      <c r="BH62" s="46">
        <f>H62*AO62</f>
        <v>0</v>
      </c>
      <c r="BI62" s="46">
        <f>H62*AP62</f>
        <v>0</v>
      </c>
      <c r="BJ62" s="46">
        <f>H62*I62</f>
        <v>0</v>
      </c>
      <c r="BK62" s="46"/>
      <c r="BL62" s="46"/>
    </row>
    <row r="63" spans="1:64" ht="15" customHeight="1">
      <c r="A63" s="44" t="s">
        <v>183</v>
      </c>
      <c r="B63" s="28" t="s">
        <v>104</v>
      </c>
      <c r="C63" s="65" t="s">
        <v>120</v>
      </c>
      <c r="D63" s="65"/>
      <c r="E63" s="65"/>
      <c r="F63" s="65"/>
      <c r="G63" s="28" t="s">
        <v>213</v>
      </c>
      <c r="H63" s="14">
        <v>12</v>
      </c>
      <c r="I63" s="14">
        <v>0</v>
      </c>
      <c r="J63" s="14">
        <f>H63*AO63</f>
        <v>0</v>
      </c>
      <c r="K63" s="14">
        <f>H63*AP63</f>
        <v>0</v>
      </c>
      <c r="L63" s="14">
        <f>H63*I63</f>
        <v>0</v>
      </c>
      <c r="M63" s="27" t="s">
        <v>151</v>
      </c>
      <c r="Z63" s="46">
        <f>IF(AQ63="5",BJ63,0)</f>
        <v>0</v>
      </c>
      <c r="AB63" s="46">
        <f>IF(AQ63="1",BH63,0)</f>
        <v>0</v>
      </c>
      <c r="AC63" s="46">
        <f>IF(AQ63="1",BI63,0)</f>
        <v>0</v>
      </c>
      <c r="AD63" s="46">
        <f>IF(AQ63="7",BH63,0)</f>
        <v>0</v>
      </c>
      <c r="AE63" s="46">
        <f>IF(AQ63="7",BI63,0)</f>
        <v>0</v>
      </c>
      <c r="AF63" s="46">
        <f>IF(AQ63="2",BH63,0)</f>
        <v>0</v>
      </c>
      <c r="AG63" s="46">
        <f>IF(AQ63="2",BI63,0)</f>
        <v>0</v>
      </c>
      <c r="AH63" s="46">
        <f>IF(AQ63="0",BJ63,0)</f>
        <v>0</v>
      </c>
      <c r="AI63" s="50" t="s">
        <v>151</v>
      </c>
      <c r="AJ63" s="46">
        <f>IF(AN63=0,L63,0)</f>
        <v>0</v>
      </c>
      <c r="AK63" s="46">
        <f>IF(AN63=15,L63,0)</f>
        <v>0</v>
      </c>
      <c r="AL63" s="46">
        <f>IF(AN63=21,L63,0)</f>
        <v>0</v>
      </c>
      <c r="AN63" s="46">
        <v>21</v>
      </c>
      <c r="AO63" s="46">
        <f>I63*0</f>
        <v>0</v>
      </c>
      <c r="AP63" s="46">
        <f>I63*(1-0)</f>
        <v>0</v>
      </c>
      <c r="AQ63" s="1" t="s">
        <v>147</v>
      </c>
      <c r="AV63" s="46">
        <f>AW63+AX63</f>
        <v>0</v>
      </c>
      <c r="AW63" s="46">
        <f>H63*AO63</f>
        <v>0</v>
      </c>
      <c r="AX63" s="46">
        <f>H63*AP63</f>
        <v>0</v>
      </c>
      <c r="AY63" s="1" t="s">
        <v>132</v>
      </c>
      <c r="AZ63" s="1" t="s">
        <v>2</v>
      </c>
      <c r="BA63" s="50" t="s">
        <v>166</v>
      </c>
      <c r="BC63" s="46">
        <f>AW63+AX63</f>
        <v>0</v>
      </c>
      <c r="BD63" s="46">
        <f>I63/(100-BE63)*100</f>
        <v>0</v>
      </c>
      <c r="BE63" s="46">
        <v>0</v>
      </c>
      <c r="BF63" s="46">
        <f>63</f>
        <v>63</v>
      </c>
      <c r="BH63" s="46">
        <f>H63*AO63</f>
        <v>0</v>
      </c>
      <c r="BI63" s="46">
        <f>H63*AP63</f>
        <v>0</v>
      </c>
      <c r="BJ63" s="46">
        <f>H63*I63</f>
        <v>0</v>
      </c>
      <c r="BK63" s="46"/>
      <c r="BL63" s="46"/>
    </row>
    <row r="64" spans="10:12" ht="15" customHeight="1">
      <c r="J64" s="70" t="s">
        <v>171</v>
      </c>
      <c r="K64" s="70"/>
      <c r="L64" s="9">
        <f>L13+L39+L55+L61</f>
        <v>0</v>
      </c>
    </row>
    <row r="65" ht="15" customHeight="1">
      <c r="A65" s="42" t="s">
        <v>15</v>
      </c>
    </row>
    <row r="66" spans="1:13" ht="12.75" customHeight="1">
      <c r="A66" s="67" t="s">
        <v>151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</sheetData>
  <sheetProtection/>
  <mergeCells count="82">
    <mergeCell ref="J64:K64"/>
    <mergeCell ref="A66:M66"/>
    <mergeCell ref="C58:F58"/>
    <mergeCell ref="C59:F59"/>
    <mergeCell ref="C60:F60"/>
    <mergeCell ref="C61:F61"/>
    <mergeCell ref="C62:F62"/>
    <mergeCell ref="C63:F63"/>
    <mergeCell ref="C52:F52"/>
    <mergeCell ref="C53:M53"/>
    <mergeCell ref="C54:F54"/>
    <mergeCell ref="C55:F55"/>
    <mergeCell ref="C56:F56"/>
    <mergeCell ref="C57:F57"/>
    <mergeCell ref="C46:F46"/>
    <mergeCell ref="C47:M47"/>
    <mergeCell ref="C48:F48"/>
    <mergeCell ref="C49:M49"/>
    <mergeCell ref="C50:F50"/>
    <mergeCell ref="C51:M51"/>
    <mergeCell ref="C40:F40"/>
    <mergeCell ref="C41:M41"/>
    <mergeCell ref="C42:F42"/>
    <mergeCell ref="C43:M43"/>
    <mergeCell ref="C44:F44"/>
    <mergeCell ref="C45:M45"/>
    <mergeCell ref="C34:F34"/>
    <mergeCell ref="C35:F35"/>
    <mergeCell ref="C36:M36"/>
    <mergeCell ref="C37:F37"/>
    <mergeCell ref="C38:M38"/>
    <mergeCell ref="C39:F39"/>
    <mergeCell ref="C28:M28"/>
    <mergeCell ref="C29:F29"/>
    <mergeCell ref="C30:M30"/>
    <mergeCell ref="C31:F31"/>
    <mergeCell ref="C32:F32"/>
    <mergeCell ref="C33:F33"/>
    <mergeCell ref="C22:F22"/>
    <mergeCell ref="C23:F23"/>
    <mergeCell ref="C24:M24"/>
    <mergeCell ref="C25:F25"/>
    <mergeCell ref="C26:F26"/>
    <mergeCell ref="C27:F27"/>
    <mergeCell ref="C16:F16"/>
    <mergeCell ref="C17:M17"/>
    <mergeCell ref="C18:F18"/>
    <mergeCell ref="C19:M19"/>
    <mergeCell ref="C20:F20"/>
    <mergeCell ref="C21:F21"/>
    <mergeCell ref="C11:F11"/>
    <mergeCell ref="J10:L10"/>
    <mergeCell ref="C12:F12"/>
    <mergeCell ref="C13:F13"/>
    <mergeCell ref="C14:F14"/>
    <mergeCell ref="C15:M15"/>
    <mergeCell ref="G8:H9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4:D5"/>
    <mergeCell ref="C6:D7"/>
    <mergeCell ref="C8:D9"/>
    <mergeCell ref="G2:H3"/>
    <mergeCell ref="G4:H5"/>
    <mergeCell ref="G6:H7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Libor</cp:lastModifiedBy>
  <dcterms:created xsi:type="dcterms:W3CDTF">2021-06-10T20:06:38Z</dcterms:created>
  <dcterms:modified xsi:type="dcterms:W3CDTF">2023-10-10T08:35:16Z</dcterms:modified>
  <cp:category/>
  <cp:version/>
  <cp:contentType/>
  <cp:contentStatus/>
</cp:coreProperties>
</file>